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Practices" sheetId="12" state="visible" r:id="rId14"/>
    <sheet name="Time_to_Cash" sheetId="13" state="visible" r:id="rId15"/>
    <sheet name="Engagement_Review" sheetId="14" state="visible" r:id="rId16"/>
    <sheet name="Engagements" sheetId="15" state="visible" r:id="rId17"/>
    <sheet name="Clients" sheetId="16" state="visible" r:id="rId18"/>
    <sheet name="Capacity" sheetId="17" state="visible" r:id="rId19"/>
    <sheet name="People" sheetId="18" state="visible" r:id="rId20"/>
    <sheet name="Pipeline" sheetId="19" state="visible" r:id="rId21"/>
    <sheet name="Receivables" sheetId="20" state="visible" r:id="rId22"/>
    <sheet name="AR_Aging" sheetId="21" state="visible" r:id="rId23"/>
    <sheet name="AP_Aging" sheetId="22" state="visible" r:id="rId24"/>
    <sheet name="Payables" sheetId="23" state="visible" r:id="rId25"/>
    <sheet name="VAT" sheetId="24" state="visible" r:id="rId26"/>
    <sheet name="Tax" sheetId="25" state="visible" r:id="rId27"/>
    <sheet name="Overheads" sheetId="26" state="visible" r:id="rId28"/>
    <sheet name="Fixed_Assets" sheetId="27" state="visible" r:id="rId29"/>
    <sheet name="Financing" sheetId="28" state="visible" r:id="rId30"/>
    <sheet name="Engagement_Register" sheetId="29" state="visible" r:id="rId31"/>
    <sheet name="Client_Register" sheetId="30" state="visible" r:id="rId32"/>
    <sheet name="Assumptions" sheetId="31" state="visible" r:id="rId33"/>
    <sheet name="Inputs_Actuals" sheetId="32" state="visible" r:id="rId34"/>
    <sheet name="Budget_FY26" sheetId="33" state="visible" r:id="rId3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<sst xmlns="http://schemas.openxmlformats.org/spreadsheetml/2006/main" count="5001" uniqueCount="2134">
  <si>
    <t xml:space="preserve">FINANCIAL MODEL AND MONTHLY REPORTING PACK</t>
  </si>
  <si>
    <t xml:space="preserve">Professional services demonstration: operations, finance and ERP consultancy in Munich serving the German Mittelstand</t>
  </si>
  <si>
    <t xml:space="preserve">FICTIONAL DEMONSTRATION. Selmberg Consulting GmbH does not exist. Every name, client, engagement, supplier, invoice and balance in this workbook was generated for demonstration purposes and does not describe any real company, client or person. Tax, social security and filing rules reflect published German rules as at September 2026. Prepared by BriQs Group to show the structure, depth and controls of a monthly finance pack.</t>
  </si>
  <si>
    <t xml:space="preserve">Reporting month (last actual)</t>
  </si>
  <si>
    <t xml:space="preserve">Forecast horizon</t>
  </si>
  <si>
    <t xml:space="preserve">Currency</t>
  </si>
  <si>
    <t xml:space="preserve">EUR (every client invoiced in EUR)</t>
  </si>
  <si>
    <t xml:space="preserve">Model status (all integrity checks)</t>
  </si>
  <si>
    <t xml:space="preserve">FY2026 revenue, outlook</t>
  </si>
  <si>
    <t xml:space="preserve">FY2026 EBITDA, outlook</t>
  </si>
  <si>
    <t xml:space="preserve">Utilisation, FY2026 outlook</t>
  </si>
  <si>
    <t xml:space="preserve">Lock-up days at the last actual month</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</si>
  <si>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</si>
  <si>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</si>
  <si>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</si>
  <si>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</si>
  <si>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</si>
  <si>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</si>
  <si>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</si>
  <si>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</si>
  <si>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</si>
  <si>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</si>
  <si>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</si>
  <si>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fee types and revenue recognition, German tax and payroll mechanics, conventions, month-end procedure,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</si>
  <si>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</si>
  <si>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</si>
  <si>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</si>
  <si>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</si>
  <si>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</si>
  <si>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</si>
  <si>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Revenue, margins, utilisation by grade, realisation, leverage, lock-up, cash and concentration by month</t>
  </si>
  <si>
    <t xml:space="preserve">PL</t>
  </si>
  <si>
    <t xml:space="preserve">Monthly P&amp;L: revenue by fee type, cost of delivery, gross profit, EBITDA, tax</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</si>
  <si>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</si>
  <si>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</si>
  <si>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</si>
  <si>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</si>
  <si>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</si>
  <si>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</si>
  <si>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revenue bridge by practice (hours and rate); EBITDA walk</t>
  </si>
  <si>
    <t xml:space="preserve">Analysis</t>
  </si>
  <si>
    <t xml:space="preserve">Scenarios</t>
  </si>
  <si>
    <t xml:space="preserve">Base, downside and upside with live selected column</t>
  </si>
  <si>
    <t xml:space="preserve">Cash_13W</t>
  </si>
  <si>
    <t xml:space="preserve">13-week direct cash forecast: payroll, social security, wage tax, VAT and tax dates, buffer control, reconciliation</t>
  </si>
  <si>
    <t xml:space="preserve">Practices</t>
  </si>
  <si>
    <t xml:space="preserve">Practice contribution, allocated profit, utilisation, realisation, fees per fee earner, leverage</t>
  </si>
  <si>
    <t xml:space="preserve">Time_to_Cash</t>
  </si>
  <si>
    <t xml:space="preserve">Standard value to revenue to invoice to cash: realisation at each step, write-downs by cause, lock-up days</t>
  </si>
  <si>
    <t xml:space="preserve">Engagement_Review</t>
  </si>
  <si>
    <t xml:space="preserve">Engagement fee budget vs actual, estimate to complete, realisation and margin at completion</t>
  </si>
  <si>
    <t xml:space="preserve">Engagements</t>
  </si>
  <si>
    <t xml:space="preserve">Per engagement: hours, % complete, standard and agreed value, revenue, invoicing, travel, contract position</t>
  </si>
  <si>
    <t xml:space="preserve">Schedule</t>
  </si>
  <si>
    <t xml:space="preserve">Clients</t>
  </si>
  <si>
    <t xml:space="preserve">Per client: revenue, hours, invoicing incl. VAT, cash, receivable and contract position</t>
  </si>
  <si>
    <t xml:space="preserve">Capacity</t>
  </si>
  <si>
    <t xml:space="preserve">Demand by practice and grade, own and subcontractor hours, utilisation, leverage</t>
  </si>
  <si>
    <t xml:space="preserve">People</t>
  </si>
  <si>
    <t xml:space="preserve">Hiring plan, attrition, headcount, payroll, social security, wage tax, bonus provision</t>
  </si>
  <si>
    <t xml:space="preserve">Pipeline</t>
  </si>
  <si>
    <t xml:space="preserve">Revenue by security, backlog, opportunities, sales record, client concentration</t>
  </si>
  <si>
    <t xml:space="preserve">Receivables</t>
  </si>
  <si>
    <t xml:space="preserve">Receivables by group, Pelzhoff specific provision, expected credit losses, debtor days</t>
  </si>
  <si>
    <t xml:space="preserve">AR_Aging</t>
  </si>
  <si>
    <t xml:space="preserve">Aged receivables tied to the ledger</t>
  </si>
  <si>
    <t xml:space="preserve">AP_Aging</t>
  </si>
  <si>
    <t xml:space="preserve">Aged payables tied to the Payables schedule</t>
  </si>
  <si>
    <t xml:space="preserve">Payables</t>
  </si>
  <si>
    <t xml:space="preserve">Subcontractors, travel and expense claims, overhead suppliers</t>
  </si>
  <si>
    <t xml:space="preserve">VAT</t>
  </si>
  <si>
    <t xml:space="preserve">Monthly returns under the one-month extension, special prepayment, reverse charge, Pelzhoff correction</t>
  </si>
  <si>
    <t xml:space="preserve">Tax</t>
  </si>
  <si>
    <t xml:space="preserve">Corporate income tax, solidarity surcharge and trade tax: charges, prepayments, provisions</t>
  </si>
  <si>
    <t xml:space="preserve">Overheads</t>
  </si>
  <si>
    <t xml:space="preserve">Overhead lines with VAT shares</t>
  </si>
  <si>
    <t xml:space="preserve">Fixed_Assets</t>
  </si>
  <si>
    <t xml:space="preserve">IT equipment and office fit-out</t>
  </si>
  <si>
    <t xml:space="preserve">Financing</t>
  </si>
  <si>
    <t xml:space="preserve">Bank loan, overdraft, dividends with withholding tax, facility</t>
  </si>
  <si>
    <t xml:space="preserve">Engagement_Register</t>
  </si>
  <si>
    <t xml:space="preserve">Engagement terms, budgets, probabilities, effective dates, forecast hours at completion, openings</t>
  </si>
  <si>
    <t xml:space="preserve">Inputs</t>
  </si>
  <si>
    <t xml:space="preserve">Client_Register</t>
  </si>
  <si>
    <t xml:space="preserve">Client master data, VAT class, terms, opening receivables</t>
  </si>
  <si>
    <t xml:space="preserve">Assumptions</t>
  </si>
  <si>
    <t xml:space="preserve">Tax and payroll rates, grades, staffing profiles, holidays, timeline and scenario drivers</t>
  </si>
  <si>
    <t xml:space="preserve">Inputs_Actuals</t>
  </si>
  <si>
    <t xml:space="preserve">Actual months and opening balances; the only place actual data is typed</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</si>
  <si>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</si>
  <si>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</si>
  <si>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</si>
  <si>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</si>
  <si>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</si>
  <si>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</si>
  <si>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</si>
  <si>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</si>
  <si>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</si>
  <si>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</si>
  <si>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consultancy in Munich with three practices (operations and supply chain, finance and performance, digital and ERP) and about forty people. It closes the month into a three-statement pack, values fixed-fee, time and materials and capped engagements, follows every hour from time recorded to fee revenue to invoice to cash, measures utilisation and leverage by grade, shows the contribution of every practice with a full allocation to EBITDA, reviews every engagement against its fee budget, forecasts under three scenarios, projects cash week by week for 13 weeks and reports to the owners with quantified findings.</t>
  </si>
  <si>
    <t xml:space="preserve">Every number traces back: statement line to schedule, schedule to register or input, input to the document that evidences it in a real close (timesheets, engagement letter, estimate to complete, sales ledger, payroll, VAT return, tax notice, bank statement).</t>
  </si>
  <si>
    <t xml:space="preserve">HOW THE MODEL FLOWS</t>
  </si>
  <si>
    <t xml:space="preserve">1. Inputs_Actuals holds the actual months and the opening balance sheet. Engagement_Register holds each engagement (fee type, fee or cap, budget hours, staffing profile, discount, write-down, travel terms, dates, win probabilities, opening positions); Client_Register holds VAT class, collection days and opening receivables. Assumptions holds the tax and payroll rates, grades, staffing profiles, the Munich holiday list, the timeline and the scenario drivers (selector in C11).</t>
  </si>
  <si>
    <t xml:space="preserve">2. Engagements turns hours into standard value, value at agreed rates, revenue by fee type, invoices, travel and the contract position of every engagement. Capacity turns engagement hours into demand by practice and grade, compares it with available hours and buys the excess from subcontractors.</t>
  </si>
  <si>
    <t xml:space="preserve">3. People runs headcount (hires, expected leavers, replacements), payroll with social security at the ceilings of the year, wage tax and the bonus provision. Clients consolidates invoicing, VAT, receipts and receivables. Receivables holds the credit loss provisions.</t>
  </si>
  <si>
    <t xml:space="preserve">4. Overheads, Payables, VAT, Tax, Fixed_Assets and Financing roll every cost and balance. PL, BS and CF link only to schedules; CF is built indirectly and reconciled every month to a direct build of the schedule cash lines.</t>
  </si>
  <si>
    <t xml:space="preserve">5. BvA, Practices, Time_to_Cash, Engagement_Review, Pipeline, KPIs, Scenarios, Cash_13W, the agings and CFO_Report are reporting layers; Checks proves the structure holds.</t>
  </si>
  <si>
    <t xml:space="preserve">FEE TYPES AND REVENUE RECOGNITION (IFRS 15)</t>
  </si>
  <si>
    <t xml:space="preserve">Fixed fee: revenue over time because the client receives the benefit as the work is performed and the engagement letter gives a right to payment for work done (IFRS 15.35); progress on the input method, % complete = hours to date / estimated hours at completion (IFRS 15.B18 to B19). Invoiced 30% at the start, 40% at the mid-point and 30% on acceptance: invoicing ahead of the work is a contract liability, work ahead of invoicing a contract asset.</t>
  </si>
  <si>
    <t xml:space="preserve">Time and materials: hours x agreed rate less write-downs at billing, recognised as the right to invoice arises (IFRS 15.B16) and invoiced monthly in arrears.</t>
  </si>
  <si>
    <t xml:space="preserve">Capped: time and materials at agreed rates, invoiced monthly in arrears until the cap. Once the value at completion exceeds the cap, revenue = cap x % complete and the excess is written down; the cumulative catch-up is booked in the month the estimate changes.</t>
  </si>
  <si>
    <t xml:space="preserve">Travel and expenses rebilled at cost on time and materials and capped work are revenue (principal: the firm incurs them to deliver its own service); fixed fees include travel.</t>
  </si>
  <si>
    <t xml:space="preserve">The statutory accounts under the German Commercial Code (HGB s252(1) no. 4) carry unfinished fixed-fee work at cost until acceptance. The model reports on IFRS 15 for management purposes and does not compute that difference or the related deferred tax.</t>
  </si>
  <si>
    <t xml:space="preserve">REALISATION AND LOCK-UP</t>
  </si>
  <si>
    <t xml:space="preserve">Standard value = hours at the rate card of the year. Rate realisation = value at agreed rates / standard value (client discounts). Billing realisation = fee revenue / value at agreed rates (write-downs on time and materials, overruns on fixed fees, value above caps). Collection realisation = 1 - credit losses / invoiced. Realisation from time recorded to cash = fee realisation x collection realisation.</t>
  </si>
  <si>
    <t xml:space="preserve">Lock-up days = unbilled work days (contract assets / fee revenue of the last three months x days) + debtor days (gross receivables / invoicing incl. VAT of the last three months x days).</t>
  </si>
  <si>
    <t xml:space="preserve">GERMAN TAX AND PAYROLL MECHANICS MODELLED</t>
  </si>
  <si>
    <t xml:space="preserve">VAT: 19% standard rate (BMF). Charged to German clients only; Austria (EU business client): reverse charge, reported in the ZM by the 25th after the quarter (BZSt); Switzerland: outside the scope. Foreign software reverse charged (UStG s13b). Monthly returns under the permanent one-month extension: each month is paid on the 10th of the second month; the special prepayment of 1/11 of the prior-year prepayments is paid on 10 February and credited against the December return (UStG s18; UStDV s46 to s48). Output VAT on the Pelzhoff receivable was corrected when it became uncollectible on the insolvency application (UStG s17; UStAE 17.1(16)).</t>
  </si>
  <si>
    <t xml:space="preserve">Corporate income tax 15% plus the 5.5% solidarity surcharge (15.825%; BMF). Trade tax 3.5% x the Munich multiplier of 490% = 17.15%, not deductible, with a quarter of the financing components above EUR 200,000 added back (GewStG s8 no. 1). Prepayments: corporate income tax on 10 March, June, September and December (EStG s37 via KStG s31), trade tax on 15 February, May, August and November (GewStG s19), each a quarter of the last assessment. 30% of client entertainment is not deductible (EStG s4(5) no. 2).</t>
  </si>
  <si>
    <t xml:space="preserve">Payroll 2026 (BMAS): pension 18.6% and unemployment 2.6% up to EUR 8,450 a month; health 14.6% plus the average additional rate of 2.9% and long-term care 3.6% up to EUR 5,812.50 a month; each shared equally, plus the 0.6% childless surcharge for employees; employer levies U2 (insurer rate) and U3 0.15%. 2027 uses the BMAS draft ceilings of 21 September 2026 (EUR 8,850 and EUR 6,375). Social security is due on the third-last banking day of the month (SGB IV s23); wage tax by the 10th of the following month (EStG s41a). The founder holds more than half the shares and is not socially insured (German Pension Insurance).</t>
  </si>
  <si>
    <t xml:space="preserve">Dividends: 25% capital gains tax plus the solidarity surcharge (26.375%) withheld and paid on the day of payment (EStG s43a and s44; ELSTER guidance).</t>
  </si>
  <si>
    <t xml:space="preserve">CONVENTIONS</t>
  </si>
  <si>
    <t xml:space="preserve">Revenue and receipts positive; costs, payments and deductions negative on the P&amp;L and cash flow. Schedules show movements with their natural sign and a closing line.</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</si>
  <si>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</si>
  <si>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</si>
  <si>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Pipeline and run-rate engagements are weighted by the win probability of the selected scenario; every flow (hours, revenue, invoices, cash) is scaled by it. Planned hires tied to pipeline work carry the same probability.</t>
  </si>
  <si>
    <t xml:space="preserve">MONTH-END PROCEDURE (adding September as an actual month)</t>
  </si>
  <si>
    <t xml:space="preserve">1. Enter the September timesheet hours, estimates to complete, revenue, fee and expense invoices and travel by engagement; client receipts; headcount, own and subcontractor hours by practice and grade; payroll; overheads; capex; supplier payments; tax payments.</t>
  </si>
  <si>
    <t xml:space="preserve">2. Change the last actual month on Assumptions to Sep-26. Flags, write-down rates, engagement positions, agings and the 13-week opening follow from that cell.</t>
  </si>
  <si>
    <t xml:space="preserve">3. Update Engagement_Register: new engagements signed, pipeline won or lost, win probabilities, start dates, budget hours and fee changes agreed with clients.</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</si>
  <si>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</si>
  <si>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</si>
  <si>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</si>
  <si>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Assumptions!C11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</si>
  <si>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</si>
  <si>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Hours by grade follow a fixed staffing mix per engagement profile from the FY2025 timesheet analysis; a live build maps each timesheet line to its engagement, grade and person.</t>
  </si>
  <si>
    <t xml:space="preserve">Salaries are grade averages; every grade sits wholly on one side of each contribution ceiling, so contributions per head are exact. Contributions on bonuses ignore the pro-rata ceiling rules for one-off payments (SGB IV s23a).</t>
  </si>
  <si>
    <t xml:space="preserve">Forecast receipts and payments are sized by days on the amounts invoiced; actual months use bank figures. Forecast hours spread over the remaining months in proportion to available hours per FTE.</t>
  </si>
  <si>
    <t xml:space="preserve">Tax is charged on the year-to-date profit at the statutory rates; no deferred tax, no loss carry-back. The office lease is expensed as rent, as in the statutory accounts (IFRS 16 not applied).</t>
  </si>
  <si>
    <t xml:space="preserve">INFORMATION NEEDED TO CONVERT THIS INTO A CLIENT BUILD</t>
  </si>
  <si>
    <t xml:space="preserve">Timesheet export by person, engagement and task for FY2025 and FY2026, to replace the staffing mixes and to measure write-downs by engagement and grade.</t>
  </si>
  <si>
    <t xml:space="preserve">Signed engagement letters with fee type, fee or cap, rates, discount, milestones, expense terms and acceptance criteria, to replace the register terms.</t>
  </si>
  <si>
    <t xml:space="preserve">Estimates to complete for every live engagement each month, signed off by the engagement partner.</t>
  </si>
  <si>
    <t xml:space="preserve">Payroll register by person with contribution status, health insurer and U2 rate, church tax and childless status, and the FY2027 pay review.</t>
  </si>
  <si>
    <t xml:space="preserve">FY2025 tax assessments and the current prepayment notices; the VAT special prepayment calculation; the insolvency administrator correspondence on Pelzhoff.</t>
  </si>
  <si>
    <t xml:space="preserve">Subcontractor contracts and the status review under SGB IV s7a for every freelancer working long-term at one client.</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</si>
  <si>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</si>
  <si>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</si>
  <si>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</si>
  <si>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</si>
  <si>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</si>
  <si>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</si>
  <si>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</si>
  <si>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</si>
  <si>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</si>
  <si>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</si>
  <si>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</si>
  <si>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</si>
  <si>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</si>
  <si>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</si>
  <si>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Retained earnings roll: closing = opening + profit - dividends</t>
  </si>
  <si>
    <t xml:space="preserve">Equity roll-forward to Dec-27</t>
  </si>
  <si>
    <t xml:space="preserve">EBITDA on the cash flow equals the P&amp;L</t>
  </si>
  <si>
    <t xml:space="preserve">Add-backs complete</t>
  </si>
  <si>
    <t xml:space="preserve">Opening balance sheet at 31-Dec-25 balances</t>
  </si>
  <si>
    <t xml:space="preserve">FY2025 closing balances on Inputs_Actuals and the registers</t>
  </si>
  <si>
    <t xml:space="preserve">ENGAGEMENTS, CAPACITY, CLIENTS AND PRACTICES</t>
  </si>
  <si>
    <t xml:space="preserve">Fixed-fee and capped revenue in actual months equals the contract method</t>
  </si>
  <si>
    <t xml:space="preserve">Ledger revenue agrees with % complete (and the cap), every engagement, every actual month</t>
  </si>
  <si>
    <t xml:space="preserve">Hours by practice and grade equal hours booked to engagements, every month</t>
  </si>
  <si>
    <t xml:space="preserve">Timesheets by grade and by engagement agree; forecast demand by grade keeps every hour</t>
  </si>
  <si>
    <t xml:space="preserve">Staffing mixes sum to 100% for every profile</t>
  </si>
  <si>
    <t xml:space="preserve">No hours lost in the grade split</t>
  </si>
  <si>
    <t xml:space="preserve">Milestone shares sum to 100%</t>
  </si>
  <si>
    <t xml:space="preserve">Every fixed fee is fully invoiced</t>
  </si>
  <si>
    <t xml:space="preserve">Percentage complete stays between 0% and 100%</t>
  </si>
  <si>
    <t xml:space="preserve">No over-recognition</t>
  </si>
  <si>
    <t xml:space="preserve">Fixed fees completing within the horizon are fully invoiced by completion</t>
  </si>
  <si>
    <t xml:space="preserve">Milestone invoicing reaches the fee</t>
  </si>
  <si>
    <t xml:space="preserve">Capped engagements are never invoiced above the cap</t>
  </si>
  <si>
    <t xml:space="preserve">Fees invoiced to date never exceed the cap</t>
  </si>
  <si>
    <t xml:space="preserve">Client fee revenue equals the P&amp;L, every month</t>
  </si>
  <si>
    <t xml:space="preserve">Client blocks and engagement totals agree</t>
  </si>
  <si>
    <t xml:space="preserve">Practice revenue equals the P&amp;L, every month</t>
  </si>
  <si>
    <t xml:space="preserve">Practice contributions equal P&amp;L gross profit, every month</t>
  </si>
  <si>
    <t xml:space="preserve">Allocated practice profits equal EBITDA, every month</t>
  </si>
  <si>
    <t xml:space="preserve">Central costs fully allocated</t>
  </si>
  <si>
    <t xml:space="preserve">Time to cash: standard value less discounts and write-downs equals fee revenue</t>
  </si>
  <si>
    <t xml:space="preserve">The realisation waterfall is complete</t>
  </si>
  <si>
    <t xml:space="preserve">VAT balance equals the last two months net less the special prepayment held</t>
  </si>
  <si>
    <t xml:space="preserve">The one-month extension and the special prepayment are applied correctly</t>
  </si>
  <si>
    <t xml:space="preserve">FY2026 tax charge equals the statutory rates on the annual taxable profit</t>
  </si>
  <si>
    <t xml:space="preserve">Year-to-date method is exact for the full year</t>
  </si>
  <si>
    <t xml:space="preserve">FY2027 tax charge equals the statutory rates on the annual taxable profit</t>
  </si>
  <si>
    <t xml:space="preserve">WORKING CAPITAL TIE-OUTS</t>
  </si>
  <si>
    <t xml:space="preserve">AR aging: clients in germany tie to the ledger</t>
  </si>
  <si>
    <t xml:space="preserve">Item listing agrees with the balance at the last actual month</t>
  </si>
  <si>
    <t xml:space="preserve">AR aging: clients in austria and switzerland tie to the ledger</t>
  </si>
  <si>
    <t xml:space="preserve">AR aging: insolvent client tie to the ledger</t>
  </si>
  <si>
    <t xml:space="preserve">AP aging: subcontractors tie to the Payables schedule</t>
  </si>
  <si>
    <t xml:space="preserve">AP aging: travel and expenses tie to the Payables schedule</t>
  </si>
  <si>
    <t xml:space="preserve">AP aging: overheads tie to the Payables schedule</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</si>
  <si>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</si>
  <si>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</si>
  <si>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</si>
  <si>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</si>
  <si>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</si>
  <si>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revenue bridge reconciles to the P&amp;L variance</t>
  </si>
  <si>
    <t xml:space="preserve">Hours plus rate effects equal the revenue variance</t>
  </si>
  <si>
    <t xml:space="preserve">EBITDA walk from budget to actual reconciles</t>
  </si>
  <si>
    <t xml:space="preserve">Variances explain the full EBITDA gap</t>
  </si>
  <si>
    <t xml:space="preserve">SIGN AND RANGE CHECKS (minimum values, must not be negative)</t>
  </si>
  <si>
    <t xml:space="preserve">Trade receivables never negative</t>
  </si>
  <si>
    <t xml:space="preserve">Trade payables never negative</t>
  </si>
  <si>
    <t xml:space="preserve">Subcontractor hours never negative (every practice and grade, every month)</t>
  </si>
  <si>
    <t xml:space="preserve">Headcount never negative</t>
  </si>
  <si>
    <t xml:space="preserve">Credit loss provisions never negative</t>
  </si>
  <si>
    <t xml:space="preserve">Fixed asset net book value never negative</t>
  </si>
  <si>
    <t xml:space="preserve">Bank loan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</si>
  <si>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</si>
  <si>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</si>
  <si>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</si>
  <si>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</si>
  <si>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Below the buffer means a facility draw or action</t>
  </si>
  <si>
    <t xml:space="preserve">Lowest 13-week closing cash</t>
  </si>
  <si>
    <t xml:space="preserve">Lowest forecast utilisation of own fee earners</t>
  </si>
  <si>
    <t xml:space="preserve">Below 65% signals idle capacity</t>
  </si>
  <si>
    <t xml:space="preserve">Largest client share of FY2027 revenue</t>
  </si>
  <si>
    <t xml:space="preserve">Above 15% is a concentration risk</t>
  </si>
  <si>
    <t xml:space="preserve">Above 70 days ties up cash</t>
  </si>
  <si>
    <t xml:space="preserve">Pelzhoff claim at the last actual month, net of provision (EUR)</t>
  </si>
  <si>
    <t xml:space="preserve">Recovery depends on the insolvency distribution</t>
  </si>
  <si>
    <t xml:space="preserve">CFO MANAGEMENT REPORT</t>
  </si>
  <si>
    <t xml:space="preserve">FICTIONAL DEMONSTRATION: Selmberg Consulting GmbH and every figure in this report were generated for demonstration purposes.</t>
  </si>
  <si>
    <t xml:space="preserve">1. HEADLINE</t>
  </si>
  <si>
    <t xml:space="preserve">2. WHAT HAPPENED YEAR TO DATE (BvA revenue bridge and EBITDA walk)</t>
  </si>
  <si>
    <t xml:space="preserve">3. TIME TO CASH: REALISATION AND LOCK-UP (Time_to_Cash, Engagement_Review)</t>
  </si>
  <si>
    <t xml:space="preserve">4. ENGAGEMENTS AND PRACTICES (Engagement_Review, Practices)</t>
  </si>
  <si>
    <t xml:space="preserve">5. PEOPLE, UTILISATION AND LEVERAGE (Capacity, People)</t>
  </si>
  <si>
    <t xml:space="preserve">6. CLIENTS, PIPELINE AND CONCENTRATION (Pipeline, Clients, Receivables)</t>
  </si>
  <si>
    <t xml:space="preserve">7. CASH, VAT, TAX AND THE 13 WEEKS (Cash_13W, VAT, Tax)</t>
  </si>
  <si>
    <t xml:space="preserve">8. SCENARIOS (Scenarios sheet; snapshot values from three full model runs)</t>
  </si>
  <si>
    <t xml:space="preserve">9. RISK REGISTER (scored 1 to 5; score = likelihood x impact)</t>
  </si>
  <si>
    <t xml:space="preserve">Risk</t>
  </si>
  <si>
    <t xml:space="preserve">Likelihood</t>
  </si>
  <si>
    <t xml:space="preserve">Impact</t>
  </si>
  <si>
    <t xml:space="preserve">Score</t>
  </si>
  <si>
    <t xml:space="preserve">Mitigation and owner</t>
  </si>
  <si>
    <t xml:space="preserve">Weekly pipeline review with win-probability discipline; proposal targets per partner; FY2027 hires only against signed work; Founder and managing partner</t>
  </si>
  <si>
    <t xml:space="preserve">Wave 2 and hypercare proposal before go-live; executive sponsor meetings monthly; grow two mid-size clients; Digital and ERP partner</t>
  </si>
  <si>
    <t xml:space="preserve">Industrial and automotive downturn: Norlach and Pelzhoff show the pressure; Mittelstand clients defer transformation work</t>
  </si>
  <si>
    <t xml:space="preserve">Diversify into medical technology, food and logistics; credit checks before engagement letters; shorter payment terms on new automotive work; Founder and managing partner</t>
  </si>
  <si>
    <t xml:space="preserve">Change requests before 80% of budget hours; estimates to complete every two weeks; partner sign-off on write-downs; Head of finance and operations</t>
  </si>
  <si>
    <t xml:space="preserve">Hiring gate tied to signed work; partner selling time protected; bench staffed on proposals and internal methods; Founder and managing partner</t>
  </si>
  <si>
    <t xml:space="preserve">Legal review of what the firm knew and when; claim filed with the administrator; Founder with legal counsel</t>
  </si>
  <si>
    <t xml:space="preserve">False self-employment: freelancers working months at one client could be found to be employees (status determination under SGB IV s7a), with contributions due</t>
  </si>
  <si>
    <t xml:space="preserve">Status review of every assignment over three months; optional status determination by the Clearingstelle before long assignments; HR and recruiting lead</t>
  </si>
  <si>
    <t xml:space="preserve">Weekly 13-week review; overdraft confirmed; tax prepayment reduction filed; Head of finance and operations</t>
  </si>
  <si>
    <t xml:space="preserve">E-invoicing: from 1 January 2027 a company with prior-year turnover above EUR 800,000 must issue e-invoices to German business clients (BMF)</t>
  </si>
  <si>
    <t xml:space="preserve">Structured invoices (XRechnung or ZUGFeRD) from the billing system by December; test with the two portal clients first; Head of finance and operations</t>
  </si>
  <si>
    <t xml:space="preserve">Key person: the founder leads the firm, new business and the operations practice</t>
  </si>
  <si>
    <t xml:space="preserve">Second operations partner takes the Norlach relationship; documented account plans; Founder and managing partner</t>
  </si>
  <si>
    <t xml:space="preserve">10. ACTIONS (owner, due date, status)</t>
  </si>
  <si>
    <t xml:space="preserve">Action</t>
  </si>
  <si>
    <t xml:space="preserve">Owner</t>
  </si>
  <si>
    <t xml:space="preserve">Due</t>
  </si>
  <si>
    <t xml:space="preserve">Measure of done</t>
  </si>
  <si>
    <t xml:space="preserve">Norlach: agree the phase 2 cap sign-off, release the June invoice and put a change-control clause in the phase 3 proposal</t>
  </si>
  <si>
    <t xml:space="preserve">Founder and operations partner</t>
  </si>
  <si>
    <t xml:space="preserve">Open</t>
  </si>
  <si>
    <t xml:space="preserve">June invoice paid; phase 3 terms agreed</t>
  </si>
  <si>
    <t xml:space="preserve">Eberstal: wave 2 and hypercare proposal signed before the go-live</t>
  </si>
  <si>
    <t xml:space="preserve">Digital and ERP partner</t>
  </si>
  <si>
    <t xml:space="preserve">Signed statement of work for April 2027</t>
  </si>
  <si>
    <t xml:space="preserve">Founder and managing partner</t>
  </si>
  <si>
    <t xml:space="preserve">Plan approved; tracked monthly against wins</t>
  </si>
  <si>
    <t xml:space="preserve">Engagement control: estimates to complete every two weeks on fixed-fee and capped work; change requests before 80% of budget hours</t>
  </si>
  <si>
    <t xml:space="preserve">Head of finance and operations</t>
  </si>
  <si>
    <t xml:space="preserve">In progress</t>
  </si>
  <si>
    <t xml:space="preserve">No engagement more than 5% over budget without a change request</t>
  </si>
  <si>
    <t xml:space="preserve">Apply to reduce the November trade tax and December corporate income tax prepayments to the FY2026 outlook</t>
  </si>
  <si>
    <t xml:space="preserve">Head of finance and operations with the tax adviser</t>
  </si>
  <si>
    <t xml:space="preserve">Revised prepayment notices received</t>
  </si>
  <si>
    <t xml:space="preserve">Pelzhoff: file the claim with the administrator and review the April to June receipts for challenge risk</t>
  </si>
  <si>
    <t xml:space="preserve">Founder with legal counsel</t>
  </si>
  <si>
    <t xml:space="preserve">Claim registered; written legal view on file</t>
  </si>
  <si>
    <t xml:space="preserve">E-invoicing: issue structured e-invoices to German business clients from 1 January 2027</t>
  </si>
  <si>
    <t xml:space="preserve">Test invoices accepted by Norlach and Eberstal portals</t>
  </si>
  <si>
    <t xml:space="preserve">Freelancer status review for assignments over three months</t>
  </si>
  <si>
    <t xml:space="preserve">HR and recruiting lead</t>
  </si>
  <si>
    <t xml:space="preserve">Every long assignment reviewed; status determinations filed where needed</t>
  </si>
  <si>
    <t xml:space="preserve">Downside plan: triggers, the hiring freeze, separation criteria and the order of cash levers</t>
  </si>
  <si>
    <t xml:space="preserve">BriQs CFO</t>
  </si>
  <si>
    <t xml:space="preserve">Plan approved by the founder and attached to the October pack</t>
  </si>
  <si>
    <t xml:space="preserve">11. INFORMATION NEEDED BEFORE THE SEPTEMBER CLOSE</t>
  </si>
  <si>
    <t xml:space="preserve">Timesheets by person, engagement and grade for September, and estimates to complete for Norlach phase 2, the Varnholt data platform, the Wittenfels integration, Stelzhof and the Sauerbeck assessment.</t>
  </si>
  <si>
    <t xml:space="preserve">Norlach written position on the phase 2 cap and the June invoice.</t>
  </si>
  <si>
    <t xml:space="preserve">Eberstal go-live date and the procurement timetable for wave 2.</t>
  </si>
  <si>
    <t xml:space="preserve">The Pelzhoff administrator report and the dates and amounts of the April to June receipts.</t>
  </si>
  <si>
    <t xml:space="preserve">The FY2027 pay review proposal, the final 2027 contribution ceilings and the health insurers 2027 additional rates.</t>
  </si>
  <si>
    <t xml:space="preserve">The tax adviser view on the prepayment reduction application.</t>
  </si>
  <si>
    <t xml:space="preserve">KPI DASHBOARD</t>
  </si>
  <si>
    <t xml:space="preserve">Live links into the statements and schedules. C = FY2026 (actual + forecast), D = FY2027. Monthly columns follow the Timeline.</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</si>
  <si>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</si>
  <si>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</si>
  <si>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</si>
  <si>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</si>
  <si>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</si>
  <si>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</si>
  <si>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</si>
  <si>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</si>
  <si>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MARGIN</t>
  </si>
  <si>
    <t xml:space="preserve">Revenue</t>
  </si>
  <si>
    <t xml:space="preserve">Revenue growth vs same month prior year</t>
  </si>
  <si>
    <t xml:space="preserve">Gross margin %</t>
  </si>
  <si>
    <t xml:space="preserve">EBITDA % of revenue</t>
  </si>
  <si>
    <t xml:space="preserve">People cost % of revenue</t>
  </si>
  <si>
    <t xml:space="preserve">EBITDA</t>
  </si>
  <si>
    <t xml:space="preserve">Fee revenue per fee earner, annualised</t>
  </si>
  <si>
    <t xml:space="preserve">UTILISATION, REALISATION AND LEVERAGE</t>
  </si>
  <si>
    <t xml:space="preserve">Utilisation of own fee earners</t>
  </si>
  <si>
    <t xml:space="preserve">Target utilisation (weighted)</t>
  </si>
  <si>
    <t xml:space="preserve">Utilisation: partner</t>
  </si>
  <si>
    <t xml:space="preserve">Utilisation: director</t>
  </si>
  <si>
    <t xml:space="preserve">Utilisation: manager</t>
  </si>
  <si>
    <t xml:space="preserve">Utilisation: senior consultant</t>
  </si>
  <si>
    <t xml:space="preserve">Utilisation: consultant</t>
  </si>
  <si>
    <t xml:space="preserve">Rate realisation</t>
  </si>
  <si>
    <t xml:space="preserve">Billing realisation</t>
  </si>
  <si>
    <t xml:space="preserve">Realisation to fee revenue</t>
  </si>
  <si>
    <t xml:space="preserve">Subcontractor share of chargeable hours</t>
  </si>
  <si>
    <t xml:space="preserve">Leverage: fee earners per partner</t>
  </si>
  <si>
    <t xml:space="preserve">Headcount</t>
  </si>
  <si>
    <t xml:space="preserve">LOCK-UP, CASH AND CLIENTS</t>
  </si>
  <si>
    <t xml:space="preserve">Unbilled work days</t>
  </si>
  <si>
    <t xml:space="preserve">Debtor days</t>
  </si>
  <si>
    <t xml:space="preserve">Lock-up days</t>
  </si>
  <si>
    <t xml:space="preserve">Cash at bank</t>
  </si>
  <si>
    <t xml:space="preserve">Cash headroom over the minimum buffer</t>
  </si>
  <si>
    <t xml:space="preserve">Operating cash flow, trailing three months</t>
  </si>
  <si>
    <t xml:space="preserve">Largest client share of revenue</t>
  </si>
  <si>
    <t xml:space="preserve">Share of fee revenue not yet won</t>
  </si>
  <si>
    <t xml:space="preserve">Signed fees still to earn</t>
  </si>
  <si>
    <t xml:space="preserve">PROFIT AND LOSS</t>
  </si>
  <si>
    <t xml:space="preserve">Monthly, actual Jan-26 to Aug-26 and forecast to Dec-27 for the selected scenario. Revenue positive, costs negative. Gross profit = revenue less the cost of delivery (fee-earner pay, bonus, subcontractors, engagement travel): the practice contribution before central costs.</t>
  </si>
  <si>
    <t xml:space="preserve">REVENUE (IFRS 15)</t>
  </si>
  <si>
    <t xml:space="preserve">Fixed-fee engagements</t>
  </si>
  <si>
    <t xml:space="preserve">Time and materials</t>
  </si>
  <si>
    <t xml:space="preserve">Capped engagements</t>
  </si>
  <si>
    <t xml:space="preserve">FEE REVENUE</t>
  </si>
  <si>
    <t xml:space="preserve">Travel and expenses rebilled at cost</t>
  </si>
  <si>
    <t xml:space="preserve">REVENUE</t>
  </si>
  <si>
    <t xml:space="preserve">Revenue growth vs prior month (memo)</t>
  </si>
  <si>
    <t xml:space="preserve">COST OF DELIVERY</t>
  </si>
  <si>
    <t xml:space="preserve">Fee-earner salaries</t>
  </si>
  <si>
    <t xml:space="preserve">Employer social security, fee earners</t>
  </si>
  <si>
    <t xml:space="preserve">Fee-earner bonus accrual (incl. employer contributions)</t>
  </si>
  <si>
    <t xml:space="preserve">Subcontractors</t>
  </si>
  <si>
    <t xml:space="preserve">Engagement travel and expenses</t>
  </si>
  <si>
    <t xml:space="preserve">TOTAL COST OF DELIVERY</t>
  </si>
  <si>
    <t xml:space="preserve">GROSS PROFIT (practice contribution)</t>
  </si>
  <si>
    <t xml:space="preserve">revenue - cost of delivery</t>
  </si>
  <si>
    <t xml:space="preserve">Gross margin % of revenue</t>
  </si>
  <si>
    <t xml:space="preserve">OPERATING COSTS</t>
  </si>
  <si>
    <t xml:space="preserve">Founder and central staff payroll (incl. employer social security)</t>
  </si>
  <si>
    <t xml:space="preserve">Central staff bonus accrual</t>
  </si>
  <si>
    <t xml:space="preserve">Severance on separations</t>
  </si>
  <si>
    <t xml:space="preserve">Office rent and service charges, Munich</t>
  </si>
  <si>
    <t xml:space="preserve">IT, software and research databases</t>
  </si>
  <si>
    <t xml:space="preserve">Company car leases (partners and directors)</t>
  </si>
  <si>
    <t xml:space="preserve">Recruitment (agency fees and campus)</t>
  </si>
  <si>
    <t xml:space="preserve">Marketing, events and business development</t>
  </si>
  <si>
    <t xml:space="preserve">Training and certifications</t>
  </si>
  <si>
    <t xml:space="preserve">Insurance (professional indemnity, D&amp;O, office)</t>
  </si>
  <si>
    <t xml:space="preserve">Tax adviser, legal and payroll bureau</t>
  </si>
  <si>
    <t xml:space="preserve">Office running costs and supplies</t>
  </si>
  <si>
    <t xml:space="preserve">Client entertainment (30% not deductible)</t>
  </si>
  <si>
    <t xml:space="preserve">Bank charges</t>
  </si>
  <si>
    <t xml:space="preserve">Bad debts and expected credit losses</t>
  </si>
  <si>
    <t xml:space="preserve">TOTAL OPERATING COSTS</t>
  </si>
  <si>
    <t xml:space="preserve">BELOW EBITDA</t>
  </si>
  <si>
    <t xml:space="preserve">Depreciation</t>
  </si>
  <si>
    <t xml:space="preserve">EBIT</t>
  </si>
  <si>
    <t xml:space="preserve">Interest (bank loan and any overdraft)</t>
  </si>
  <si>
    <t xml:space="preserve">PROFIT BEFORE TAX</t>
  </si>
  <si>
    <t xml:space="preserve">Corporate income tax and solidarity surcharge</t>
  </si>
  <si>
    <t xml:space="preserve">Trade tax</t>
  </si>
  <si>
    <t xml:space="preserve">NET PROFIT</t>
  </si>
  <si>
    <t xml:space="preserve">Net profit % of revenue</t>
  </si>
  <si>
    <t xml:space="preserve">MEMO</t>
  </si>
  <si>
    <t xml:space="preserve">People cost (all payroll, bonus and subcontractors) % of revenue</t>
  </si>
  <si>
    <t xml:space="preserve">fees x 12 / fee earners</t>
  </si>
  <si>
    <t xml:space="preserve">Management accounts under IFRS 15 for revenue. The statutory accounts under the German Commercial Code carry unfinished fixed-fee work at cost until acceptance; the model does not show that difference or deferred tax.</t>
  </si>
  <si>
    <t xml:space="preserve">BALANCE SHEET</t>
  </si>
  <si>
    <t xml:space="preserve">Every balance comes from a schedule. The check row must be zero in every month.</t>
  </si>
  <si>
    <t xml:space="preserve">ASSETS</t>
  </si>
  <si>
    <t xml:space="preserve">Cash at bank (negative = overdraft drawn)</t>
  </si>
  <si>
    <t xml:space="preserve">Trade receivables, net of credit loss provisions</t>
  </si>
  <si>
    <t xml:space="preserve">Contract assets (work done, not yet invoiced)</t>
  </si>
  <si>
    <t xml:space="preserve">Prepayments and deposits</t>
  </si>
  <si>
    <t xml:space="preserve">opening balance, no movement modelled</t>
  </si>
  <si>
    <t xml:space="preserve">Fixed assets, net book value</t>
  </si>
  <si>
    <t xml:space="preserve">TOTAL ASSETS</t>
  </si>
  <si>
    <t xml:space="preserve">LIABILITIES</t>
  </si>
  <si>
    <t xml:space="preserve">Trade payables: subcontractors</t>
  </si>
  <si>
    <t xml:space="preserve">Trade payables: travel card and expense claims</t>
  </si>
  <si>
    <t xml:space="preserve">Trade payables: overhead suppliers</t>
  </si>
  <si>
    <t xml:space="preserve">Wage tax payable</t>
  </si>
  <si>
    <t xml:space="preserve">VAT payable (net of the special prepayment)</t>
  </si>
  <si>
    <t xml:space="preserve">Contract liabilities (invoiced ahead of the work)</t>
  </si>
  <si>
    <t xml:space="preserve">Bonus provision</t>
  </si>
  <si>
    <t xml:space="preserve">Corporate income tax payable / (receivable)</t>
  </si>
  <si>
    <t xml:space="preserve">Trade tax payable / (receivable)</t>
  </si>
  <si>
    <t xml:space="preserve">Bank loan: current portion</t>
  </si>
  <si>
    <t xml:space="preserve">Bank loan: non-current portion</t>
  </si>
  <si>
    <t xml:space="preserve">TOTAL LIABILITIES</t>
  </si>
  <si>
    <t xml:space="preserve">EQUITY</t>
  </si>
  <si>
    <t xml:space="preserve">Share capital</t>
  </si>
  <si>
    <t xml:space="preserve">opening balance</t>
  </si>
  <si>
    <t xml:space="preserve">Retained earnings: opening (memo)</t>
  </si>
  <si>
    <t xml:space="preserve">Net profit (memo)</t>
  </si>
  <si>
    <t xml:space="preserve">Dividends (memo)</t>
  </si>
  <si>
    <t xml:space="preserve">Retained earnings</t>
  </si>
  <si>
    <t xml:space="preserve">TOTAL EQUITY</t>
  </si>
  <si>
    <t xml:space="preserve">TOTAL LIABILITIES AND EQUITY</t>
  </si>
  <si>
    <t xml:space="preserve">CHECK: assets less liabilities and equity (must be zero)</t>
  </si>
  <si>
    <t xml:space="preserve">Lock-up: receivables + contract assets - contract liabilities</t>
  </si>
  <si>
    <t xml:space="preserve">Working capital (lock-up + prepayments - trade payables)</t>
  </si>
  <si>
    <t xml:space="preserve">Net cash / (debt): cash less bank loan</t>
  </si>
  <si>
    <t xml:space="preserve">CASH FLOW STATEMENT</t>
  </si>
  <si>
    <t xml:space="preserve">Indirect method from the P&amp;L and balance sheet movements, reconciled every month to a direct build of the cash lines in each schedule.</t>
  </si>
  <si>
    <t xml:space="preserve">OPERATING ACTIVITIES (indirect)</t>
  </si>
  <si>
    <t xml:space="preserve">Net profit</t>
  </si>
  <si>
    <t xml:space="preserve">Add back: depreciation</t>
  </si>
  <si>
    <t xml:space="preserve">Add back: interest</t>
  </si>
  <si>
    <t xml:space="preserve">Add back: corporate income tax and trade tax</t>
  </si>
  <si>
    <t xml:space="preserve">EBITDA (check equals PL)</t>
  </si>
  <si>
    <t xml:space="preserve">(Increase) / decrease in trade receivables</t>
  </si>
  <si>
    <t xml:space="preserve">BS movement</t>
  </si>
  <si>
    <t xml:space="preserve">(Increase) / decrease in contract assets</t>
  </si>
  <si>
    <t xml:space="preserve">(Increase) / decrease in prepayments</t>
  </si>
  <si>
    <t xml:space="preserve">Increase / (decrease) in subcontractor payables</t>
  </si>
  <si>
    <t xml:space="preserve">Increase / (decrease) in travel and expense payables</t>
  </si>
  <si>
    <t xml:space="preserve">Increase / (decrease) in overhead payables</t>
  </si>
  <si>
    <t xml:space="preserve">Increase / (decrease) in wage tax payable</t>
  </si>
  <si>
    <t xml:space="preserve">Increase / (decrease) in VAT payable</t>
  </si>
  <si>
    <t xml:space="preserve">Increase / (decrease) in contract liabilities</t>
  </si>
  <si>
    <t xml:space="preserve">Increase / (decrease) in the bonus provision</t>
  </si>
  <si>
    <t xml:space="preserve">Cash generated from operations</t>
  </si>
  <si>
    <t xml:space="preserve">Interest paid</t>
  </si>
  <si>
    <t xml:space="preserve">Corporate income tax and trade tax paid</t>
  </si>
  <si>
    <t xml:space="preserve">NET CASH FROM OPERATING ACTIVITIES</t>
  </si>
  <si>
    <t xml:space="preserve">INVESTING ACTIVITIES</t>
  </si>
  <si>
    <t xml:space="preserve">Capital expenditure</t>
  </si>
  <si>
    <t xml:space="preserve">FINANCING ACTIVITIES</t>
  </si>
  <si>
    <t xml:space="preserve">Bank loan repaid</t>
  </si>
  <si>
    <t xml:space="preserve">Dividends paid (incl. withholding tax paid on the day)</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</si>
  <si>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</si>
  <si>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</si>
  <si>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</si>
  <si>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</si>
  <si>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</si>
  <si>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less capex)</t>
  </si>
  <si>
    <t xml:space="preserve">memo</t>
  </si>
  <si>
    <t xml:space="preserve">DIRECT METHOD (built from the cash lines of each schedule)</t>
  </si>
  <si>
    <t xml:space="preserve">Receipts from clients</t>
  </si>
  <si>
    <t xml:space="preserve">schedule cash line</t>
  </si>
  <si>
    <t xml:space="preserve">Net salaries (last banking day)</t>
  </si>
  <si>
    <t xml:space="preserve">Net bonus (March payroll)</t>
  </si>
  <si>
    <t xml:space="preserve">Social security (third-last banking day)</t>
  </si>
  <si>
    <t xml:space="preserve">Severance</t>
  </si>
  <si>
    <t xml:space="preserve">Wage tax (10th)</t>
  </si>
  <si>
    <t xml:space="preserve">Travel card statements and expense claims</t>
  </si>
  <si>
    <t xml:space="preserve">Rent (in advance)</t>
  </si>
  <si>
    <t xml:space="preserve">Overhead suppliers</t>
  </si>
  <si>
    <t xml:space="preserve">VAT returns and the special prepayment</t>
  </si>
  <si>
    <t xml:space="preserve">Capex incl. VAT</t>
  </si>
  <si>
    <t xml:space="preserve">Interest</t>
  </si>
  <si>
    <t xml:space="preserve">Loan principal</t>
  </si>
  <si>
    <t xml:space="preserve">Dividends incl. withholding tax</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</si>
  <si>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</si>
  <si>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</si>
  <si>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</si>
  <si>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 and for cost lines shown as negatives.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</si>
  <si>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</si>
  <si>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</si>
  <si>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</si>
  <si>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</si>
  <si>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</si>
  <si>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</si>
  <si>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</si>
  <si>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HOURS BY PRACTICE</t>
  </si>
  <si>
    <t xml:space="preserve">Operations and supply chain: hours</t>
  </si>
  <si>
    <t xml:space="preserve">Finance and performance: hours</t>
  </si>
  <si>
    <t xml:space="preserve">Digital and ERP: hours</t>
  </si>
  <si>
    <t xml:space="preserve">Operations and supply chain: fee revenue</t>
  </si>
  <si>
    <t xml:space="preserve">Finance and performance: fee revenue</t>
  </si>
  <si>
    <t xml:space="preserve">Digital and ERP: fee revenue</t>
  </si>
  <si>
    <t xml:space="preserve">Travel and expenses rebilled</t>
  </si>
  <si>
    <t xml:space="preserve">Fee-earner salaries and employer social security</t>
  </si>
  <si>
    <t xml:space="preserve">Fee-earner bonus accrual</t>
  </si>
  <si>
    <t xml:space="preserve">GROSS PROFIT</t>
  </si>
  <si>
    <t xml:space="preserve">Founder and central staff payroll</t>
  </si>
  <si>
    <t xml:space="preserve">Corporate income tax and trade tax</t>
  </si>
  <si>
    <t xml:space="preserve">BALANCES AT THE LAST ACTUAL MONTH (YTD columns) AND AT DEC-26 (FY columns)</t>
  </si>
  <si>
    <t xml:space="preserve">Trade receivables</t>
  </si>
  <si>
    <t xml:space="preserve">Contract assets less contract liabilities</t>
  </si>
  <si>
    <t xml:space="preserve">YTD REVENUE BRIDGE BY PRACTICE: HOURS EFFECT AND RATE EFFECT (rate = fee revenue per hour)</t>
  </si>
  <si>
    <t xml:space="preserve">Practice</t>
  </si>
  <si>
    <t xml:space="preserve">Actual fee revenue YTD</t>
  </si>
  <si>
    <t xml:space="preserve">Budget fee revenue YTD</t>
  </si>
  <si>
    <t xml:space="preserve">Actual hours YTD</t>
  </si>
  <si>
    <t xml:space="preserve">Budget hours YTD</t>
  </si>
  <si>
    <t xml:space="preserve">Actual rate</t>
  </si>
  <si>
    <t xml:space="preserve">Budget rate</t>
  </si>
  <si>
    <t xml:space="preserve">Hours effect</t>
  </si>
  <si>
    <t xml:space="preserve">Rate effect</t>
  </si>
  <si>
    <t xml:space="preserve">Total variance</t>
  </si>
  <si>
    <t xml:space="preserve">Operations and supply chain</t>
  </si>
  <si>
    <t xml:space="preserve">Finance and performance</t>
  </si>
  <si>
    <t xml:space="preserve">Digital and ERP</t>
  </si>
  <si>
    <t xml:space="preserve">Travel and expenses rebilled (no hours)</t>
  </si>
  <si>
    <t xml:space="preserve">TOTAL</t>
  </si>
  <si>
    <t xml:space="preserve">Check: total variance less the P&amp;L revenue variance (must be zero)</t>
  </si>
  <si>
    <t xml:space="preserve">Hours effect = (actual - budget hours) x budget fee revenue per hour. Rate effect = actual hours x (actual - budget rate); the rate captures the rate card, client discounts, write-downs, overruns and caps. Together they equal the revenue variance.</t>
  </si>
  <si>
    <t xml:space="preserve">EBITDA WALK, YTD (budget to actual)</t>
  </si>
  <si>
    <t xml:space="preserve">Budget EBITDA YTD</t>
  </si>
  <si>
    <t xml:space="preserve">Revenue variance</t>
  </si>
  <si>
    <t xml:space="preserve">Fee-earner pay and social security variance</t>
  </si>
  <si>
    <t xml:space="preserve">Fee-earner bonus variance</t>
  </si>
  <si>
    <t xml:space="preserve">Subcontractor and travel variance</t>
  </si>
  <si>
    <t xml:space="preserve">Central payroll, bonus and severance variance</t>
  </si>
  <si>
    <t xml:space="preserve">Overheads variance</t>
  </si>
  <si>
    <t xml:space="preserve">Bad debts and credit losses variance</t>
  </si>
  <si>
    <t xml:space="preserve">Actual EBITDA YTD</t>
  </si>
  <si>
    <t xml:space="preserve">Check: budget + variances - actual (must be zero)</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</si>
  <si>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</si>
  <si>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</si>
  <si>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</si>
  <si>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23-Sep-2026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</si>
  <si>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</si>
  <si>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</si>
  <si>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</si>
  <si>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</si>
  <si>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</si>
  <si>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</si>
  <si>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</si>
  <si>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</si>
  <si>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revenue (outlook)</t>
  </si>
  <si>
    <t xml:space="preserve">EUR</t>
  </si>
  <si>
    <t xml:space="preserve">FY2027 revenue</t>
  </si>
  <si>
    <t xml:space="preserve">FY2026 gross margin %</t>
  </si>
  <si>
    <t xml:space="preserve">%</t>
  </si>
  <si>
    <t xml:space="preserve">FY2026 EBITDA</t>
  </si>
  <si>
    <t xml:space="preserve">FY2026 EBITDA % of revenue</t>
  </si>
  <si>
    <t xml:space="preserve">FY2026 net profit</t>
  </si>
  <si>
    <t xml:space="preserve">FY2027 gross margin %</t>
  </si>
  <si>
    <t xml:space="preserve">FY2027 EBITDA</t>
  </si>
  <si>
    <t xml:space="preserve">FY2027 EBITDA % of revenue</t>
  </si>
  <si>
    <t xml:space="preserve">FY2027 net profit</t>
  </si>
  <si>
    <t xml:space="preserve">Cash at 31-Dec-26</t>
  </si>
  <si>
    <t xml:space="preserve">Cash at 31-Dec-27</t>
  </si>
  <si>
    <t xml:space="preserve">Lowest month-end cash, Sep-26 to Dec-27</t>
  </si>
  <si>
    <t xml:space="preserve">Month of the lowest cash</t>
  </si>
  <si>
    <t xml:space="preserve">month</t>
  </si>
  <si>
    <t xml:space="preserve">Headroom at the lowest point vs the cash buffer (negative = shortfall)</t>
  </si>
  <si>
    <t xml:space="preserve">FY2027 utilisation (own fee earners)</t>
  </si>
  <si>
    <t xml:space="preserve">FY2027 realisation to fee revenue</t>
  </si>
  <si>
    <t xml:space="preserve">Lock-up days at Dec-27</t>
  </si>
  <si>
    <t xml:space="preserve">number</t>
  </si>
  <si>
    <t xml:space="preserve">FY2027 largest client share of revenue</t>
  </si>
  <si>
    <t xml:space="preserve">FY2027 fee revenue not yet won (share)</t>
  </si>
  <si>
    <t xml:space="preserve">FY2027 fee revenue per fee earner</t>
  </si>
  <si>
    <t xml:space="preserve">Headcount at Dec-27</t>
  </si>
  <si>
    <t xml:space="preserve">Total of check column (must be zero)</t>
  </si>
  <si>
    <t xml:space="preserve">KEY DRIVERS BY SCENARIO (live links to Assumptions)</t>
  </si>
  <si>
    <t xml:space="preserve">Win probabilities by engagement and scenario are on Engagement_Register. To refresh the snapshots: set Assumptions!C11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</si>
  <si>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</si>
  <si>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</si>
  <si>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</si>
  <si>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</si>
  <si>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</si>
  <si>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</si>
  <si>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</si>
  <si>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</si>
  <si>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</si>
  <si>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</si>
  <si>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</si>
  <si>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</si>
  <si>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</si>
  <si>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</si>
  <si>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</si>
  <si>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</si>
  <si>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</si>
  <si>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</si>
  <si>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</si>
  <si>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</si>
  <si>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</si>
  <si>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</si>
  <si>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</si>
  <si>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</si>
  <si>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</si>
  <si>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</si>
  <si>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</si>
  <si>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</si>
  <si>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</si>
  <si>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</si>
  <si>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</si>
  <si>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</si>
  <si>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</si>
  <si>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10th (tax day) of Sep-26 falls in the week (1/0), after the opening date only</t>
  </si>
  <si>
    <t xml:space="preserve">10th (tax day) of Oct-26 falls in the week (1/0), after the opening date only</t>
  </si>
  <si>
    <t xml:space="preserve">10th (tax day) of Nov-26 falls in the week (1/0), after the opening date only</t>
  </si>
  <si>
    <t xml:space="preserve">10th (tax day) of Dec-26 falls in the week (1/0), after the opening date only</t>
  </si>
  <si>
    <t xml:space="preserve">15th of month of Sep-26 falls in the week (1/0), after the opening date only</t>
  </si>
  <si>
    <t xml:space="preserve">15th of month of Oct-26 falls in the week (1/0), after the opening date only</t>
  </si>
  <si>
    <t xml:space="preserve">15th of month of Nov-26 falls in the week (1/0), after the opening date only</t>
  </si>
  <si>
    <t xml:space="preserve">15th of month of Dec-26 falls in the week (1/0), after the opening date only</t>
  </si>
  <si>
    <t xml:space="preserve">third-last banking day of Sep-26 falls in the week (1/0), after the opening date only</t>
  </si>
  <si>
    <t xml:space="preserve">third-last banking day of Oct-26 falls in the week (1/0), after the opening date only</t>
  </si>
  <si>
    <t xml:space="preserve">third-last banking day of Nov-26 falls in the week (1/0), after the opening date only</t>
  </si>
  <si>
    <t xml:space="preserve">third-last banking day of Dec-26 falls in the week (1/0), after the opening date only</t>
  </si>
  <si>
    <t xml:space="preserve">last banking day of Sep-26 falls in the week (1/0), after the opening date only</t>
  </si>
  <si>
    <t xml:space="preserve">last banking day of Oct-26 falls in the week (1/0), after the opening date only</t>
  </si>
  <si>
    <t xml:space="preserve">last banking day of Nov-26 falls in the week (1/0), after the opening date only</t>
  </si>
  <si>
    <t xml:space="preserve">last banking day of Dec-26 falls in the week (1/0), after the opening date only</t>
  </si>
  <si>
    <t xml:space="preserve">first working day of Sep-26 falls in the week (1/0), after the opening date only</t>
  </si>
  <si>
    <t xml:space="preserve">first working day of Oct-26 falls in the week (1/0), after the opening date only</t>
  </si>
  <si>
    <t xml:space="preserve">first working day of Nov-26 falls in the week (1/0), after the opening date only</t>
  </si>
  <si>
    <t xml:space="preserve">first working day of Dec-26 falls in the week (1/0), after the opening date only</t>
  </si>
  <si>
    <t xml:space="preserve">month end of Sep-26 falls in the week (1/0), after the opening date only</t>
  </si>
  <si>
    <t xml:space="preserve">month end of Oct-26 falls in the week (1/0), after the opening date only</t>
  </si>
  <si>
    <t xml:space="preserve">month end of Nov-26 falls in the week (1/0), after the opening date only</t>
  </si>
  <si>
    <t xml:space="preserve">month end of Dec-26 falls in the week (1/0), after the opening date only</t>
  </si>
  <si>
    <t xml:space="preserve">RECEIPTS</t>
  </si>
  <si>
    <t xml:space="preserve">Client receipts (EUR invoices; German clients incl. 19% VAT)</t>
  </si>
  <si>
    <t xml:space="preserve">calendar days</t>
  </si>
  <si>
    <t xml:space="preserve">TOTAL RECEIPTS</t>
  </si>
  <si>
    <t xml:space="preserve">n/a</t>
  </si>
  <si>
    <t xml:space="preserve">PAYMENTS</t>
  </si>
  <si>
    <t xml:space="preserve">last banking day</t>
  </si>
  <si>
    <t xml:space="preserve">Net bonus (March payroll only)</t>
  </si>
  <si>
    <t xml:space="preserve">Social security, employer and employee (third-last banking day)</t>
  </si>
  <si>
    <t xml:space="preserve">third-last banking day</t>
  </si>
  <si>
    <t xml:space="preserve">Wage tax withheld (10th)</t>
  </si>
  <si>
    <t xml:space="preserve">10th (tax day)</t>
  </si>
  <si>
    <t xml:space="preserve">Severance on separations (month end)</t>
  </si>
  <si>
    <t xml:space="preserve">month end</t>
  </si>
  <si>
    <t xml:space="preserve">Subcontractors (30 days)</t>
  </si>
  <si>
    <t xml:space="preserve">Rent (in advance, first working day)</t>
  </si>
  <si>
    <t xml:space="preserve">first working day</t>
  </si>
  <si>
    <t xml:space="preserve">VAT return, month two months earlier (10th)</t>
  </si>
  <si>
    <t xml:space="preserve">Corporate income tax prepayment (10-Dec)</t>
  </si>
  <si>
    <t xml:space="preserve">Trade tax prepayment (15-Nov)</t>
  </si>
  <si>
    <t xml:space="preserve">15th of month</t>
  </si>
  <si>
    <t xml:space="preserve">Bank loan instalment and interest (month end)</t>
  </si>
  <si>
    <t xml:space="preserve">TOTAL PAYMENTS</t>
  </si>
  <si>
    <t xml:space="preserve">NET CASH FLOW FOR THE WEEK</t>
  </si>
  <si>
    <t xml:space="preserve">ledger + actual to date</t>
  </si>
  <si>
    <t xml:space="preserve">CLOSING CASH</t>
  </si>
  <si>
    <t xml:space="preserve">CASH CONTROL</t>
  </si>
  <si>
    <t xml:space="preserve">Minimum cash buffer (board policy)</t>
  </si>
  <si>
    <t xml:space="preserve">HEADROOM / (SHORTFALL) VS BUFFER</t>
  </si>
  <si>
    <t xml:space="preserve">Low point in the 13 weeks</t>
  </si>
  <si>
    <t xml:space="preserve">Week ending of the low point</t>
  </si>
  <si>
    <t xml:space="preserve">Headroom at the low point (negative = action needed)</t>
  </si>
  <si>
    <t xml:space="preserve">Undrawn overdraft facility</t>
  </si>
  <si>
    <t xml:space="preserve">Facility headroom after covering any shortfall</t>
  </si>
  <si>
    <t xml:space="preserve">Social security and taxes paid in the window</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</si>
  <si>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</si>
  <si>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</si>
  <si>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</si>
  <si>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</si>
  <si>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</si>
  <si>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</si>
  <si>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</si>
  <si>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PRACTICE CONTRIBUTION AND FULLY ALLOCATED PRACTICE PROFIT (EUR)</t>
  </si>
  <si>
    <t xml:space="preserve">Contribution = practice revenue less the pay, bonus and social security of its fee earners, its subcontractors and its engagement travel. Central costs (founder and central staff, overheads, credit losses) are allocated by revenue share; allocated practice profits add up to EBITDA (check below).</t>
  </si>
  <si>
    <t xml:space="preserve">OPERATIONS AND SUPPLY CHAIN</t>
  </si>
  <si>
    <t xml:space="preserve">Fee revenue</t>
  </si>
  <si>
    <t xml:space="preserve">Travel rebilled</t>
  </si>
  <si>
    <t xml:space="preserve">CONTRIBUTION</t>
  </si>
  <si>
    <t xml:space="preserve">Contribution % of revenue</t>
  </si>
  <si>
    <t xml:space="preserve">Central costs allocated (revenue share)</t>
  </si>
  <si>
    <t xml:space="preserve">PL operating costs x revenue share</t>
  </si>
  <si>
    <t xml:space="preserve">PRACTICE PROFIT AFTER ALLOCATION</t>
  </si>
  <si>
    <t xml:space="preserve">Chargeable hours (own + subcontractors)</t>
  </si>
  <si>
    <t xml:space="preserve">Utilisation of own staff</t>
  </si>
  <si>
    <t xml:space="preserve">Realisation (fee revenue / standard value)</t>
  </si>
  <si>
    <t xml:space="preserve">FINANCE AND PERFORMANCE</t>
  </si>
  <si>
    <t xml:space="preserve">DIGITAL AND ERP</t>
  </si>
  <si>
    <t xml:space="preserve">FIRM</t>
  </si>
  <si>
    <t xml:space="preserve">sum of practices</t>
  </si>
  <si>
    <t xml:space="preserve">Contribution</t>
  </si>
  <si>
    <t xml:space="preserve">Central costs allocated</t>
  </si>
  <si>
    <t xml:space="preserve">Check: practice revenue less P&amp;L revenue (must be zero)</t>
  </si>
  <si>
    <t xml:space="preserve">Check: contributions less P&amp;L gross profit (must be zero)</t>
  </si>
  <si>
    <t xml:space="preserve">Check: practice profits less EBITDA (must be zero)</t>
  </si>
  <si>
    <t xml:space="preserve">TIME RECORDED TO BILLED TO COLLECTED: REALISATION AT EACH STEP AND LOCK-UP (EUR)</t>
  </si>
  <si>
    <t xml:space="preserve">Standard value = hours at the rate card. Rate realisation = value at agreed rates / standard. Billing realisation = fee revenue / value at agreed rates (write-downs on time and materials, overruns on fixed fees, excess over caps). Collection realisation = 1 - credit losses / invoiced. Lock-up days = unbilled work days (contract assets / fee revenue of the last three months x days) + debtor days.</t>
  </si>
  <si>
    <t xml:space="preserve">FROM TIME RECORDED TO FEE REVENUE</t>
  </si>
  <si>
    <t xml:space="preserve">Hours recorded on engagements</t>
  </si>
  <si>
    <t xml:space="preserve">STANDARD VALUE AT THE RATE CARD</t>
  </si>
  <si>
    <t xml:space="preserve">Less: client rate discounts</t>
  </si>
  <si>
    <t xml:space="preserve">standard - agreed</t>
  </si>
  <si>
    <t xml:space="preserve">VALUE AT AGREED RATES</t>
  </si>
  <si>
    <t xml:space="preserve">Less: time and materials written down at billing</t>
  </si>
  <si>
    <t xml:space="preserve">agreed - revenue</t>
  </si>
  <si>
    <t xml:space="preserve">Less: fixed-fee overruns (written up where under budget)</t>
  </si>
  <si>
    <t xml:space="preserve">Less: value above fee caps</t>
  </si>
  <si>
    <t xml:space="preserve">Check: standard value less discounts and write-downs less fee revenue (must be zero)</t>
  </si>
  <si>
    <t xml:space="preserve">Rate realisation (agreed / standard)</t>
  </si>
  <si>
    <t xml:space="preserve">Billing realisation (fee revenue / agreed)</t>
  </si>
  <si>
    <t xml:space="preserve">REALISATION TO FEE REVENUE (fee revenue / standard)</t>
  </si>
  <si>
    <t xml:space="preserve">Fee revenue per hour recorded</t>
  </si>
  <si>
    <t xml:space="preserve">FROM REVENUE TO INVOICE TO CASH</t>
  </si>
  <si>
    <t xml:space="preserve">Invoiced ex VAT (fees and expenses)</t>
  </si>
  <si>
    <t xml:space="preserve">Unbilled work (contract assets)</t>
  </si>
  <si>
    <t xml:space="preserve">Invoiced ahead of the work (contract liabilities)</t>
  </si>
  <si>
    <t xml:space="preserve">Invoiced incl. VAT</t>
  </si>
  <si>
    <t xml:space="preserve">Collected</t>
  </si>
  <si>
    <t xml:space="preserve">Receivables, gross</t>
  </si>
  <si>
    <t xml:space="preserve">Credit losses charged</t>
  </si>
  <si>
    <t xml:space="preserve">Collection realisation (1 - credit losses / invoiced ex VAT)</t>
  </si>
  <si>
    <t xml:space="preserve">REALISATION FROM TIME RECORDED TO CASH (fee realisation x collection realisation)</t>
  </si>
  <si>
    <t xml:space="preserve">LOCK-UP</t>
  </si>
  <si>
    <t xml:space="preserve">Unbilled work days (contract assets / fee revenue of the last three months x days)</t>
  </si>
  <si>
    <t xml:space="preserve">LOCK-UP DAYS</t>
  </si>
  <si>
    <t xml:space="preserve">Lock-up value (receivables + contract assets - contract liabilities, gross)</t>
  </si>
  <si>
    <t xml:space="preserve">ENGAGEMENT FEE BUDGET VS ACTUAL AT THE LAST ACTUAL MONTH, WITH THE FORECAST AT COMPLETION</t>
  </si>
  <si>
    <t xml:space="preserve">Signed engagements only. Standard value at the FY2026 rate card; standard cost = hours x the blended standard cost rate of the engagement mix. Forecast at completion = revenue to date plus the forecast months of the selected scenario.</t>
  </si>
  <si>
    <t xml:space="preserve">Code</t>
  </si>
  <si>
    <t xml:space="preserve">Client</t>
  </si>
  <si>
    <t xml:space="preserve">Fee type</t>
  </si>
  <si>
    <t xml:space="preserve">Fee or cap (TM: estimate)</t>
  </si>
  <si>
    <t xml:space="preserve">Budget hours</t>
  </si>
  <si>
    <t xml:space="preserve">Hours to date</t>
  </si>
  <si>
    <t xml:space="preserve">Estimate to complete</t>
  </si>
  <si>
    <t xml:space="preserve">Hours at completion</t>
  </si>
  <si>
    <t xml:space="preserve">Hours over / (under) budget</t>
  </si>
  <si>
    <t xml:space="preserve">Over / (under) %</t>
  </si>
  <si>
    <t xml:space="preserve">Standard value to date</t>
  </si>
  <si>
    <t xml:space="preserve">Fee revenue to date</t>
  </si>
  <si>
    <t xml:space="preserve">Realisation to date</t>
  </si>
  <si>
    <t xml:space="preserve">Fee revenue at completion</t>
  </si>
  <si>
    <t xml:space="preserve">Standard value at completion</t>
  </si>
  <si>
    <t xml:space="preserve">Realisation at completion</t>
  </si>
  <si>
    <t xml:space="preserve">Margin at standard cost to date</t>
  </si>
  <si>
    <t xml:space="preserve">Margin %</t>
  </si>
  <si>
    <t xml:space="preserve">Invoiced to date</t>
  </si>
  <si>
    <t xml:space="preserve">Contract position at last actual</t>
  </si>
  <si>
    <t xml:space="preserve">Flag</t>
  </si>
  <si>
    <t xml:space="preserve">E-2501</t>
  </si>
  <si>
    <t xml:space="preserve">EBE</t>
  </si>
  <si>
    <t xml:space="preserve">DIG</t>
  </si>
  <si>
    <t xml:space="preserve">TM</t>
  </si>
  <si>
    <t xml:space="preserve">E-2502</t>
  </si>
  <si>
    <t xml:space="preserve">NOR</t>
  </si>
  <si>
    <t xml:space="preserve">OPS</t>
  </si>
  <si>
    <t xml:space="preserve">CAP</t>
  </si>
  <si>
    <t xml:space="preserve">E-2503</t>
  </si>
  <si>
    <t xml:space="preserve">WIT</t>
  </si>
  <si>
    <t xml:space="preserve">FIN</t>
  </si>
  <si>
    <t xml:space="preserve">E-2504</t>
  </si>
  <si>
    <t xml:space="preserve">RIN</t>
  </si>
  <si>
    <t xml:space="preserve">FF</t>
  </si>
  <si>
    <t xml:space="preserve">E-2505</t>
  </si>
  <si>
    <t xml:space="preserve">ZOR</t>
  </si>
  <si>
    <t xml:space="preserve">E-2506</t>
  </si>
  <si>
    <t xml:space="preserve">PEL</t>
  </si>
  <si>
    <t xml:space="preserve">E-2601</t>
  </si>
  <si>
    <t xml:space="preserve">SAU</t>
  </si>
  <si>
    <t xml:space="preserve">E-2602</t>
  </si>
  <si>
    <t xml:space="preserve">SOR</t>
  </si>
  <si>
    <t xml:space="preserve">E-2603</t>
  </si>
  <si>
    <t xml:space="preserve">E-2604</t>
  </si>
  <si>
    <t xml:space="preserve">VAR</t>
  </si>
  <si>
    <t xml:space="preserve">E-2605</t>
  </si>
  <si>
    <t xml:space="preserve">E-2606</t>
  </si>
  <si>
    <t xml:space="preserve">ULM</t>
  </si>
  <si>
    <t xml:space="preserve">E-2607</t>
  </si>
  <si>
    <t xml:space="preserve">STE</t>
  </si>
  <si>
    <t xml:space="preserve">E-2608</t>
  </si>
  <si>
    <t xml:space="preserve">E-2609</t>
  </si>
  <si>
    <t xml:space="preserve">E-2610</t>
  </si>
  <si>
    <t xml:space="preserve">E-2611</t>
  </si>
  <si>
    <t xml:space="preserve">TEG</t>
  </si>
  <si>
    <t xml:space="preserve">E-2612</t>
  </si>
  <si>
    <t xml:space="preserve">E-2613</t>
  </si>
  <si>
    <t xml:space="preserve">E-2614</t>
  </si>
  <si>
    <t xml:space="preserve">E-2615</t>
  </si>
  <si>
    <t xml:space="preserve">E-2616</t>
  </si>
  <si>
    <t xml:space="preserve">E-2617</t>
  </si>
  <si>
    <t xml:space="preserve">Realisation = fee revenue / standard value. A realisation below the agreed rate factor means hours above the budget: overruns on fixed fees and value above caps are written down, time and materials write-downs happen at billing. Margin at standard cost uses the grade cost rates on Assumptions.</t>
  </si>
  <si>
    <t xml:space="preserve">ENGAGEMENTS: HOURS, STANDARD VALUE, REVENUE BY FEE TYPE, INVOICING, TRAVEL AND CONTRACT POSITIONS (EUR)</t>
  </si>
  <si>
    <t xml:space="preserve">Actual months from timesheets, the engagement manager estimate to complete and the ledger. Forecast: remaining hours spread over the remaining months by available hours. Fixed fee: revenue over time on hours (IFRS 15.35(c), input method B18 to B19). Time and materials: right to invoice (IFRS 15.B16). Capped: time and materials until the value at completion exceeds the cap, then cap x % complete. Travel rebilled at cost is revenue (principal).</t>
  </si>
  <si>
    <t xml:space="preserve">HOURS WORKED BY ENGAGEMENT (register order; drives demand by practice and grade on Capacity)</t>
  </si>
  <si>
    <t xml:space="preserve">E-2501  Eberstal Medizintechnik AG: hours</t>
  </si>
  <si>
    <t xml:space="preserve">A: timesheets; F: remaining hours x available-hours profile</t>
  </si>
  <si>
    <t xml:space="preserve">E-2502  Norlach Antriebstechnik GmbH: hours</t>
  </si>
  <si>
    <t xml:space="preserve">E-2503  Wittenfels Holding GmbH: hours</t>
  </si>
  <si>
    <t xml:space="preserve">E-2504  Rindelmann Maschinenbau GmbH: hours</t>
  </si>
  <si>
    <t xml:space="preserve">E-2505  Zorneck Logistik GmbH: hours</t>
  </si>
  <si>
    <t xml:space="preserve">E-2506  Pelzhoff Kunststofftechnik Gmb: hours</t>
  </si>
  <si>
    <t xml:space="preserve">E-2601  Sauerbeck Lebensmittel GmbH: hours</t>
  </si>
  <si>
    <t xml:space="preserve">E-2602  Sornegg Präzision AG: hours</t>
  </si>
  <si>
    <t xml:space="preserve">E-2603  Zorneck Logistik GmbH: hours</t>
  </si>
  <si>
    <t xml:space="preserve">E-2604  Varnholt Chemie GmbH: hours</t>
  </si>
  <si>
    <t xml:space="preserve">E-2605  Varnholt Chemie GmbH: hours</t>
  </si>
  <si>
    <t xml:space="preserve">E-2606  Ulmhardt Verpackungen GmbH: hours</t>
  </si>
  <si>
    <t xml:space="preserve">E-2607  Stelzhof Industrie AG: hours</t>
  </si>
  <si>
    <t xml:space="preserve">E-2608  Wittenfels Holding GmbH: hours</t>
  </si>
  <si>
    <t xml:space="preserve">E-2609  Sauerbeck Lebensmittel GmbH: hours</t>
  </si>
  <si>
    <t xml:space="preserve">E-2610  Norlach Antriebstechnik GmbH: hours</t>
  </si>
  <si>
    <t xml:space="preserve">E-2611  Teggwerk Elektronik GmbH: hours</t>
  </si>
  <si>
    <t xml:space="preserve">E-2612  Eberstal Medizintechnik AG: hours</t>
  </si>
  <si>
    <t xml:space="preserve">E-2613  Teggwerk Elektronik GmbH: hours</t>
  </si>
  <si>
    <t xml:space="preserve">E-2614  Rindelmann Maschinenbau GmbH: hours</t>
  </si>
  <si>
    <t xml:space="preserve">E-2615  Zorneck Logistik GmbH: hours</t>
  </si>
  <si>
    <t xml:space="preserve">E-2616  Wittenfels Holding GmbH: hours</t>
  </si>
  <si>
    <t xml:space="preserve">E-2617  Eberstal Medizintechnik AG: hours</t>
  </si>
  <si>
    <t xml:space="preserve">P-01  Eberstal Medizintechnik AG: hours</t>
  </si>
  <si>
    <t xml:space="preserve">P-02  Norlach Antriebstechnik GmbH: hours</t>
  </si>
  <si>
    <t xml:space="preserve">P-03  Wittenfels Holding GmbH: hours</t>
  </si>
  <si>
    <t xml:space="preserve">P-04  Stelzhof Industrie AG: hours</t>
  </si>
  <si>
    <t xml:space="preserve">P-05  Teggwerk Elektronik GmbH: hours</t>
  </si>
  <si>
    <t xml:space="preserve">P-06  Merzbach Fenster GmbH: hours</t>
  </si>
  <si>
    <t xml:space="preserve">P-07  Sornegg Präzision AG: hours</t>
  </si>
  <si>
    <t xml:space="preserve">P-08  Ulmhardt Verpackungen GmbH: hours</t>
  </si>
  <si>
    <t xml:space="preserve">P-09  Varnholt Chemie GmbH: hours</t>
  </si>
  <si>
    <t xml:space="preserve">P-10  Zorneck Logistik GmbH: hours</t>
  </si>
  <si>
    <t xml:space="preserve">E-2501   S/4HANA programme management office   |   Eberstal Medizintechnik AG   |   Digital and ERP   |   Time and materials   |   In progress</t>
  </si>
  <si>
    <t xml:space="preserve">opening + hours</t>
  </si>
  <si>
    <t xml:space="preserve">Standard value at the rate card</t>
  </si>
  <si>
    <t xml:space="preserve">hours x blended rate card x rate card factor</t>
  </si>
  <si>
    <t xml:space="preserve">Value at agreed rates</t>
  </si>
  <si>
    <t xml:space="preserve">hours x agreed rate x rate card factor</t>
  </si>
  <si>
    <t xml:space="preserve">A: ledger; F: value at agreed rates x (1 - write-down)</t>
  </si>
  <si>
    <t xml:space="preserve">Fees invoiced</t>
  </si>
  <si>
    <t xml:space="preserve">A: sales ledger; F: prior month revenue (monthly in arrears)</t>
  </si>
  <si>
    <t xml:space="preserve">Fees invoiced to date</t>
  </si>
  <si>
    <t xml:space="preserve">Travel and expenses (cost)</t>
  </si>
  <si>
    <t xml:space="preserve">A: expense claims; F: hours x cost per hour x inflation</t>
  </si>
  <si>
    <t xml:space="preserve">Travel and expenses rebilled at cost (revenue)</t>
  </si>
  <si>
    <t xml:space="preserve">cost, rebilled under the engagement letter</t>
  </si>
  <si>
    <t xml:space="preserve">Expenses invoiced</t>
  </si>
  <si>
    <t xml:space="preserve">A: sales ledger; F: prior month</t>
  </si>
  <si>
    <t xml:space="preserve">Contract position (+ unbilled work / - invoiced ahead)</t>
  </si>
  <si>
    <t xml:space="preserve">opening + revenue - invoiced</t>
  </si>
  <si>
    <t xml:space="preserve">Fees still to earn</t>
  </si>
  <si>
    <t xml:space="preserve">FF, CAP: fee - revenue to date; TM: remaining hours x agreed rate</t>
  </si>
  <si>
    <t xml:space="preserve">E-2502   Plant footprint and lean programme, phase 2   |   Norlach Antriebstechnik GmbH   |   Operations and supply chain   |   Capped engagements   |   In progress</t>
  </si>
  <si>
    <t xml:space="preserve">Estimated hours at completion</t>
  </si>
  <si>
    <t xml:space="preserve">A: hours to date + estimate to complete; F: register</t>
  </si>
  <si>
    <t xml:space="preserve">Percentage complete</t>
  </si>
  <si>
    <t xml:space="preserve">hours to date / hours at completion</t>
  </si>
  <si>
    <t xml:space="preserve">Value at agreed rates to date</t>
  </si>
  <si>
    <t xml:space="preserve">opening + value</t>
  </si>
  <si>
    <t xml:space="preserve">A: ledger; F: cap x % complete once the value at completion exceeds the cap, else value at agreed rates</t>
  </si>
  <si>
    <t xml:space="preserve">change in revenue to date</t>
  </si>
  <si>
    <t xml:space="preserve">A: sales ledger; F: prior month value at agreed rates, up to the cap</t>
  </si>
  <si>
    <t xml:space="preserve">Check (actual months): ledger revenue to date less the contract method</t>
  </si>
  <si>
    <t xml:space="preserve">must be zero</t>
  </si>
  <si>
    <t xml:space="preserve">E-2503   Finance function transformation   |   Wittenfels Holding GmbH   |   Finance and performance   |   Time and materials   |   Completed</t>
  </si>
  <si>
    <t xml:space="preserve">E-2504   Procurement cost programme   |   Rindelmann Maschinenbau GmbH   |   Operations and supply chain   |   Fixed-fee engagements   |   Completed</t>
  </si>
  <si>
    <t xml:space="preserve">hours x agreed rate</t>
  </si>
  <si>
    <t xml:space="preserve">A: ledger; F: fee x % complete</t>
  </si>
  <si>
    <t xml:space="preserve">Milestone invoicing due to date</t>
  </si>
  <si>
    <t xml:space="preserve">fee x (30% at start + 40% at mid-point + 30% at completion)</t>
  </si>
  <si>
    <t xml:space="preserve">A: sales ledger; F: tops up to the milestone due</t>
  </si>
  <si>
    <t xml:space="preserve">E-2505   ERP selection   |   Zorneck Logistik GmbH   |   Digital and ERP   |   Fixed-fee engagements   |   Completed</t>
  </si>
  <si>
    <t xml:space="preserve">E-2506   Restructuring support: operational measures   |   Pelzhoff Kunststofftechnik GmbH   |   Operations and supply chain   |   Time and materials   |   Stopped</t>
  </si>
  <si>
    <t xml:space="preserve">E-2601   Cost reduction programme   |   Sauerbeck Lebensmittel GmbH   |   Finance and performance   |   Fixed-fee engagements   |   Completed</t>
  </si>
  <si>
    <t xml:space="preserve">E-2602   Carve-out finance readiness   |   Sornegg Präzision AG   |   Finance and performance   |   Time and materials   |   In progress</t>
  </si>
  <si>
    <t xml:space="preserve">E-2603   Warehouse network redesign   |   Zorneck Logistik GmbH   |   Operations and supply chain   |   Fixed-fee engagements   |   Completed</t>
  </si>
  <si>
    <t xml:space="preserve">E-2604   Data and reporting platform   |   Varnholt Chemie GmbH   |   Digital and ERP   |   Capped engagements   |   In progress</t>
  </si>
  <si>
    <t xml:space="preserve">E-2605   Working capital programme   |   Varnholt Chemie GmbH   |   Finance and performance   |   Fixed-fee engagements   |   In progress</t>
  </si>
  <si>
    <t xml:space="preserve">E-2606   Sales and operations planning implementation   |   Ulmhardt Verpackungen GmbH   |   Operations and supply chain   |   Time and materials   |   In progress</t>
  </si>
  <si>
    <t xml:space="preserve">E-2607   Procurement excellence diagnostic   |   Stelzhof Industrie AG   |   Operations and supply chain   |   Fixed-fee engagements   |   In progress</t>
  </si>
  <si>
    <t xml:space="preserve">E-2608   Post-merger integration, first acquisition   |   Wittenfels Holding GmbH   |   Finance and performance   |   Capped engagements   |   In progress</t>
  </si>
  <si>
    <t xml:space="preserve">E-2609   S/4HANA readiness assessment   |   Sauerbeck Lebensmittel GmbH   |   Digital and ERP   |   Fixed-fee engagements   |   In progress</t>
  </si>
  <si>
    <t xml:space="preserve">E-2610   Supplier resilience diagnostic   |   Norlach Antriebstechnik GmbH   |   Operations and supply chain   |   Fixed-fee engagements   |   In progress</t>
  </si>
  <si>
    <t xml:space="preserve">E-2611   Production ramp-up programme   |   Teggwerk Elektronik GmbH   |   Operations and supply chain   |   Time and materials   |   Completed</t>
  </si>
  <si>
    <t xml:space="preserve">E-2612   Operations excellence programme, two plants   |   Eberstal Medizintechnik AG   |   Operations and supply chain   |   Capped engagements   |   Contracted</t>
  </si>
  <si>
    <t xml:space="preserve">E-2613   Planning and reporting redesign   |   Teggwerk Elektronik GmbH   |   Finance and performance   |   Time and materials   |   Contracted</t>
  </si>
  <si>
    <t xml:space="preserve">E-2614   ERP selection and business case   |   Rindelmann Maschinenbau GmbH   |   Digital and ERP   |   Fixed-fee engagements   |   Contracted</t>
  </si>
  <si>
    <t xml:space="preserve">E-2615   Transport procurement tender   |   Zorneck Logistik GmbH   |   Operations and supply chain   |   Fixed-fee engagements   |   Contracted</t>
  </si>
  <si>
    <t xml:space="preserve">E-2616   Finance shared service centre design   |   Wittenfels Holding GmbH   |   Finance and performance   |   Time and materials   |   Contracted</t>
  </si>
  <si>
    <t xml:space="preserve">E-2617   Data migration and reporting for the S/4HANA go-live   |   Eberstal Medizintechnik AG   |   Digital and ERP   |   Time and materials   |   Contracted</t>
  </si>
  <si>
    <t xml:space="preserve">P-01   S/4HANA rollout wave 2 and hypercare   |   Eberstal Medizintechnik AG   |   Digital and ERP   |   Time and materials   |   Pipeline</t>
  </si>
  <si>
    <t xml:space="preserve">Fees still to earn (probability-weighted)</t>
  </si>
  <si>
    <t xml:space="preserve">P-02   Footprint programme phase 3   |   Norlach Antriebstechnik GmbH   |   Operations and supply chain   |   Capped engagements   |   Pipeline</t>
  </si>
  <si>
    <t xml:space="preserve">P-03   Add-on acquisition: due diligence support and 100-day plan   |   Wittenfels Holding GmbH   |   Finance and performance   |   Fixed-fee engagements   |   Pipeline</t>
  </si>
  <si>
    <t xml:space="preserve">P-04   Procurement excellence rollout, three sites   |   Stelzhof Industrie AG   |   Operations and supply chain   |   Time and materials   |   Pipeline</t>
  </si>
  <si>
    <t xml:space="preserve">P-05   S/4HANA selection   |   Teggwerk Elektronik GmbH   |   Digital and ERP   |   Fixed-fee engagements   |   Pipeline</t>
  </si>
  <si>
    <t xml:space="preserve">P-06   Cost reduction programme   |   Merzbach Fenster GmbH   |   Finance and performance   |   Fixed-fee engagements   |   Pipeline</t>
  </si>
  <si>
    <t xml:space="preserve">P-07   Carve-out execution and exit from transitional services   |   Sornegg Präzision AG   |   Finance and performance   |   Time and materials   |   Pipeline</t>
  </si>
  <si>
    <t xml:space="preserve">P-08   S&amp;OP extension: network and capacity planning   |   Ulmhardt Verpackungen GmbH   |   Operations and supply chain   |   Time and materials   |   Pipeline</t>
  </si>
  <si>
    <t xml:space="preserve">P-09   Procurement and cost programme   |   Varnholt Chemie GmbH   |   Finance and performance   |   Fixed-fee engagements   |   Pipeline</t>
  </si>
  <si>
    <t xml:space="preserve">P-10   Network rollout: two new warehouses   |   Zorneck Logistik GmbH   |   Operations and supply chain   |   Capped engagements   |   Pipeline</t>
  </si>
  <si>
    <t xml:space="preserve">NW_OPS   New work not yet identified: fills the gap to target utilisation   |   Operations and supply chain   |   Time and materials   |   Run-rate</t>
  </si>
  <si>
    <t xml:space="preserve">Hours worked</t>
  </si>
  <si>
    <t xml:space="preserve">Capacity: new-work hours by grade</t>
  </si>
  <si>
    <t xml:space="preserve">hours by grade x rate card x rate card factor</t>
  </si>
  <si>
    <t xml:space="preserve">standard x (1 - discount on new work)</t>
  </si>
  <si>
    <t xml:space="preserve">agreed x (1 - write-down on new work)</t>
  </si>
  <si>
    <t xml:space="preserve">prior month revenue (monthly in arrears)</t>
  </si>
  <si>
    <t xml:space="preserve">hours x cost per hour x inflation</t>
  </si>
  <si>
    <t xml:space="preserve">cost, rebilled</t>
  </si>
  <si>
    <t xml:space="preserve">prior month</t>
  </si>
  <si>
    <t xml:space="preserve">Contract position (+ unbilled work)</t>
  </si>
  <si>
    <t xml:space="preserve">NW_FIN   New work not yet identified: fills the gap to target utilisation   |   Finance and performance   |   Time and materials   |   Run-rate</t>
  </si>
  <si>
    <t xml:space="preserve">NW_DIG   New work not yet identified: fills the gap to target utilisation   |   Digital and ERP   |   Time and materials   |   Run-rate</t>
  </si>
  <si>
    <t xml:space="preserve">TOTALS BY FEE TYPE, PRACTICE AND STATUS</t>
  </si>
  <si>
    <t xml:space="preserve">Fixed-fee engagements: hours</t>
  </si>
  <si>
    <t xml:space="preserve">sum of engagements</t>
  </si>
  <si>
    <t xml:space="preserve">Fixed-fee engagements: standard value</t>
  </si>
  <si>
    <t xml:space="preserve">Fixed-fee engagements: value at agreed rates</t>
  </si>
  <si>
    <t xml:space="preserve">Fixed-fee engagements: fee revenue</t>
  </si>
  <si>
    <t xml:space="preserve">Time and materials: hours</t>
  </si>
  <si>
    <t xml:space="preserve">Time and materials: standard value</t>
  </si>
  <si>
    <t xml:space="preserve">Time and materials: value at agreed rates</t>
  </si>
  <si>
    <t xml:space="preserve">Time and materials: fee revenue</t>
  </si>
  <si>
    <t xml:space="preserve">Capped engagements: hours</t>
  </si>
  <si>
    <t xml:space="preserve">Capped engagements: standard value</t>
  </si>
  <si>
    <t xml:space="preserve">Capped engagements: value at agreed rates</t>
  </si>
  <si>
    <t xml:space="preserve">Capped engagements: fee revenue</t>
  </si>
  <si>
    <t xml:space="preserve">Operations and supply chain: standard value</t>
  </si>
  <si>
    <t xml:space="preserve">Operations and supply chain: travel rebilled</t>
  </si>
  <si>
    <t xml:space="preserve">Operations and supply chain: travel and expenses (cost)</t>
  </si>
  <si>
    <t xml:space="preserve">Finance and performance: standard value</t>
  </si>
  <si>
    <t xml:space="preserve">Finance and performance: travel rebilled</t>
  </si>
  <si>
    <t xml:space="preserve">Finance and performance: travel and expenses (cost)</t>
  </si>
  <si>
    <t xml:space="preserve">Digital and ERP: standard value</t>
  </si>
  <si>
    <t xml:space="preserve">Digital and ERP: travel rebilled</t>
  </si>
  <si>
    <t xml:space="preserve">Digital and ERP: travel and expenses (cost)</t>
  </si>
  <si>
    <t xml:space="preserve">HOURS WORKED</t>
  </si>
  <si>
    <t xml:space="preserve">Travel and expenses rebilled (revenue)</t>
  </si>
  <si>
    <t xml:space="preserve">Contract assets (sum of positive positions)</t>
  </si>
  <si>
    <t xml:space="preserve">per engagement</t>
  </si>
  <si>
    <t xml:space="preserve">Contract liabilities (sum of negative positions)</t>
  </si>
  <si>
    <t xml:space="preserve">Fee revenue: signed engagements</t>
  </si>
  <si>
    <t xml:space="preserve">Fee revenue: named pipeline (win-weighted)</t>
  </si>
  <si>
    <t xml:space="preserve">Fee revenue: new work not yet identified (gap to target utilisation x scenario share)</t>
  </si>
  <si>
    <t xml:space="preserve">Hours: new work not yet identified</t>
  </si>
  <si>
    <t xml:space="preserve">Pipeline fees still to earn (win-weighted)</t>
  </si>
  <si>
    <t xml:space="preserve">CLIENTS: REVENUE, HOURS, INVOICING, VAT, CASH, RECEIVABLES AND CONTRACT POSITIONS (EUR)</t>
  </si>
  <si>
    <t xml:space="preserve">One block per client. Invoiced = fee invoices + expenses invoiced at cost, plus 19% VAT for German clients. Receipts: actual months per bank; forecast months collect the opening balance and invoices at the days to collect on Client_Register (plus scenario slip). Pelzhoff: the claim sits with the administrator; nothing is collected in the forecast.</t>
  </si>
  <si>
    <t xml:space="preserve">EBE   Eberstal Medizintechnik AG   |   Germany   |   client since 2022</t>
  </si>
  <si>
    <t xml:space="preserve">VAT on invoices</t>
  </si>
  <si>
    <t xml:space="preserve">Client_Register VAT rate</t>
  </si>
  <si>
    <t xml:space="preserve">INVOICED INCL. VAT</t>
  </si>
  <si>
    <t xml:space="preserve">Cash received</t>
  </si>
  <si>
    <t xml:space="preserve">A: bank; F: opening + invoiced - closing at days to collect</t>
  </si>
  <si>
    <t xml:space="preserve">RECEIVABLE (incl. VAT)</t>
  </si>
  <si>
    <t xml:space="preserve">opening + invoiced - received</t>
  </si>
  <si>
    <t xml:space="preserve">Debtor days (receivable / invoicing of the last three months x days)</t>
  </si>
  <si>
    <t xml:space="preserve">Contract position (+ unbilled / - invoiced ahead)</t>
  </si>
  <si>
    <t xml:space="preserve">NOR   Norlach Antriebstechnik GmbH   |   Germany   |   client since 2019</t>
  </si>
  <si>
    <t xml:space="preserve">WIT   Wittenfels Holding GmbH   |   Germany   |   client since 2023</t>
  </si>
  <si>
    <t xml:space="preserve">RIN   Rindelmann Maschinenbau GmbH   |   Germany   |   client since 2021</t>
  </si>
  <si>
    <t xml:space="preserve">ZOR   Zorneck Logistik GmbH   |   Germany   |   client since 2024</t>
  </si>
  <si>
    <t xml:space="preserve">ULM   Ulmhardt Verpackungen GmbH   |   Germany   |   client since 2026</t>
  </si>
  <si>
    <t xml:space="preserve">SAU   Sauerbeck Lebensmittel GmbH   |   Germany   |   client since 2025</t>
  </si>
  <si>
    <t xml:space="preserve">VAR   Varnholt Chemie GmbH   |   Germany   |   client since 2024</t>
  </si>
  <si>
    <t xml:space="preserve">TEG   Teggwerk Elektronik GmbH   |   Germany   |   client since 2026</t>
  </si>
  <si>
    <t xml:space="preserve">PEL   Pelzhoff Kunststofftechnik GmbH   |   Germany   |   client since 2025</t>
  </si>
  <si>
    <t xml:space="preserve">Output VAT corrected on the uncollectible balance (UStG s17)</t>
  </si>
  <si>
    <t xml:space="preserve">A: VAT return; F: none</t>
  </si>
  <si>
    <t xml:space="preserve">A: bank; F: nothing before the distribution to creditors</t>
  </si>
  <si>
    <t xml:space="preserve">opening + invoiced - received - VAT corrected</t>
  </si>
  <si>
    <t xml:space="preserve">STE   Stelzhof Industrie AG   |   Austria   |   client since 2026</t>
  </si>
  <si>
    <t xml:space="preserve">SOR   Sornegg Präzision AG   |   Switzerland   |   client since 2026</t>
  </si>
  <si>
    <t xml:space="preserve">MER   Merzbach Fenster GmbH   |   Germany   |   prospect</t>
  </si>
  <si>
    <t xml:space="preserve">NEW   New work not yet identified (new clients and extensions)   |   Germany   |   prospect</t>
  </si>
  <si>
    <t xml:space="preserve">TOTALS (EUR)</t>
  </si>
  <si>
    <t xml:space="preserve">sum of clients</t>
  </si>
  <si>
    <t xml:space="preserve">Standard value</t>
  </si>
  <si>
    <t xml:space="preserve">Invoiced ex VAT</t>
  </si>
  <si>
    <t xml:space="preserve">Output VAT on invoices</t>
  </si>
  <si>
    <t xml:space="preserve">Contract positions (net)</t>
  </si>
  <si>
    <t xml:space="preserve">Output VAT corrected (Pelzhoff)</t>
  </si>
  <si>
    <t xml:space="preserve">Receivables: clients in Germany (excl. Pelzhoff)</t>
  </si>
  <si>
    <t xml:space="preserve">Receivables: clients in Austria and Switzerland</t>
  </si>
  <si>
    <t xml:space="preserve">Receivables: Pelzhoff (insolvent)</t>
  </si>
  <si>
    <t xml:space="preserve">CAPACITY: DEMAND BY PRACTICE AND GRADE, OWN AND SUBCONTRACTOR HOURS, UTILISATION AND LEVERAGE</t>
  </si>
  <si>
    <t xml:space="preserve">Demand for each grade = engagement hours x the staffing mix of the engagement profile. Own staff work up to the maximum sustainable utilisation of their available hours; the rest goes to subcontractors. Utilisation = own chargeable hours / available hours. The founder adds half a fee earner to the operations partner pool.</t>
  </si>
  <si>
    <t xml:space="preserve">PRACTICE: OPERATIONS AND SUPPLY CHAIN</t>
  </si>
  <si>
    <t xml:space="preserve">Partner: available hours (incl. the founder at 50%)</t>
  </si>
  <si>
    <t xml:space="preserve">headcount x available hours per FTE</t>
  </si>
  <si>
    <t xml:space="preserve">Partner: hours demanded by signed and pipeline engagements</t>
  </si>
  <si>
    <t xml:space="preserve">A: own + subcontractor timesheets; F: engagement hours x staffing mix</t>
  </si>
  <si>
    <t xml:space="preserve">Partner: new work not yet identified</t>
  </si>
  <si>
    <t xml:space="preserve">F: gap to target utilisation x scenario share, from the start month</t>
  </si>
  <si>
    <t xml:space="preserve">Partner: chargeable hours demanded</t>
  </si>
  <si>
    <t xml:space="preserve">named + new work</t>
  </si>
  <si>
    <t xml:space="preserve">Partner: chargeable hours, own staff</t>
  </si>
  <si>
    <t xml:space="preserve">A: timesheets; F: min(demand, available x maximum utilisation)</t>
  </si>
  <si>
    <t xml:space="preserve">Partner: chargeable hours, subcontractors</t>
  </si>
  <si>
    <t xml:space="preserve">A: timesheets; F: demand - own</t>
  </si>
  <si>
    <t xml:space="preserve">Partner: utilisation</t>
  </si>
  <si>
    <t xml:space="preserve">own chargeable / available</t>
  </si>
  <si>
    <t xml:space="preserve">Director: available hours</t>
  </si>
  <si>
    <t xml:space="preserve">Director: hours demanded by signed and pipeline engagements</t>
  </si>
  <si>
    <t xml:space="preserve">Director: new work not yet identified</t>
  </si>
  <si>
    <t xml:space="preserve">Director: chargeable hours demanded</t>
  </si>
  <si>
    <t xml:space="preserve">Director: chargeable hours, own staff</t>
  </si>
  <si>
    <t xml:space="preserve">Director: chargeable hours, subcontractors</t>
  </si>
  <si>
    <t xml:space="preserve">Director: utilisation</t>
  </si>
  <si>
    <t xml:space="preserve">Manager: available hours</t>
  </si>
  <si>
    <t xml:space="preserve">Manager: hours demanded by signed and pipeline engagements</t>
  </si>
  <si>
    <t xml:space="preserve">Manager: new work not yet identified</t>
  </si>
  <si>
    <t xml:space="preserve">Manager: chargeable hours demanded</t>
  </si>
  <si>
    <t xml:space="preserve">Manager: chargeable hours, own staff</t>
  </si>
  <si>
    <t xml:space="preserve">Manager: chargeable hours, subcontractors</t>
  </si>
  <si>
    <t xml:space="preserve">Manager: utilisation</t>
  </si>
  <si>
    <t xml:space="preserve">Senior consultant: available hours</t>
  </si>
  <si>
    <t xml:space="preserve">Senior consultant: hours demanded by signed and pipeline engagements</t>
  </si>
  <si>
    <t xml:space="preserve">Senior consultant: new work not yet identified</t>
  </si>
  <si>
    <t xml:space="preserve">Senior consultant: chargeable hours demanded</t>
  </si>
  <si>
    <t xml:space="preserve">Senior consultant: chargeable hours, own staff</t>
  </si>
  <si>
    <t xml:space="preserve">Senior consultant: chargeable hours, subcontractors</t>
  </si>
  <si>
    <t xml:space="preserve">Senior consultant: utilisation</t>
  </si>
  <si>
    <t xml:space="preserve">Consultant: available hours</t>
  </si>
  <si>
    <t xml:space="preserve">Consultant: hours demanded by signed and pipeline engagements</t>
  </si>
  <si>
    <t xml:space="preserve">Consultant: new work not yet identified</t>
  </si>
  <si>
    <t xml:space="preserve">Consultant: chargeable hours demanded</t>
  </si>
  <si>
    <t xml:space="preserve">Consultant: chargeable hours, own staff</t>
  </si>
  <si>
    <t xml:space="preserve">Consultant: chargeable hours, subcontractors</t>
  </si>
  <si>
    <t xml:space="preserve">Consultant: utilisation</t>
  </si>
  <si>
    <t xml:space="preserve">Operations and supply chain: available hours</t>
  </si>
  <si>
    <t xml:space="preserve">Operations and supply chain: hours of new work not yet identified</t>
  </si>
  <si>
    <t xml:space="preserve">Operations and supply chain: chargeable hours demanded</t>
  </si>
  <si>
    <t xml:space="preserve">Operations and supply chain: chargeable hours, own staff</t>
  </si>
  <si>
    <t xml:space="preserve">Operations and supply chain: chargeable hours, subcontractors</t>
  </si>
  <si>
    <t xml:space="preserve">Operations and supply chain: UTILISATION</t>
  </si>
  <si>
    <t xml:space="preserve">Operations and supply chain: subcontractor hours at cost rates</t>
  </si>
  <si>
    <t xml:space="preserve">hours x cost per hour</t>
  </si>
  <si>
    <t xml:space="preserve">PRACTICE: FINANCE AND PERFORMANCE</t>
  </si>
  <si>
    <t xml:space="preserve">Partner: available hours</t>
  </si>
  <si>
    <t xml:space="preserve">Finance and performance: available hours</t>
  </si>
  <si>
    <t xml:space="preserve">Finance and performance: hours of new work not yet identified</t>
  </si>
  <si>
    <t xml:space="preserve">Finance and performance: chargeable hours demanded</t>
  </si>
  <si>
    <t xml:space="preserve">Finance and performance: chargeable hours, own staff</t>
  </si>
  <si>
    <t xml:space="preserve">Finance and performance: chargeable hours, subcontractors</t>
  </si>
  <si>
    <t xml:space="preserve">Finance and performance: UTILISATION</t>
  </si>
  <si>
    <t xml:space="preserve">Finance and performance: subcontractor hours at cost rates</t>
  </si>
  <si>
    <t xml:space="preserve">PRACTICE: DIGITAL AND ERP</t>
  </si>
  <si>
    <t xml:space="preserve">Digital and ERP: available hours</t>
  </si>
  <si>
    <t xml:space="preserve">Digital and ERP: hours of new work not yet identified</t>
  </si>
  <si>
    <t xml:space="preserve">Digital and ERP: chargeable hours demanded</t>
  </si>
  <si>
    <t xml:space="preserve">Digital and ERP: chargeable hours, own staff</t>
  </si>
  <si>
    <t xml:space="preserve">Digital and ERP: chargeable hours, subcontractors</t>
  </si>
  <si>
    <t xml:space="preserve">Digital and ERP: UTILISATION</t>
  </si>
  <si>
    <t xml:space="preserve">Digital and ERP: subcontractor hours at cost rates</t>
  </si>
  <si>
    <t xml:space="preserve">Subcontractor hours at cost rates, all practices</t>
  </si>
  <si>
    <t xml:space="preserve">Operations and supply chain: SUBCONTRACTOR COST</t>
  </si>
  <si>
    <t xml:space="preserve">A: purchase ledger allocated by hours at cost rates; F: hours x cost rate x inflation</t>
  </si>
  <si>
    <t xml:space="preserve">Finance and performance: SUBCONTRACTOR COST</t>
  </si>
  <si>
    <t xml:space="preserve">Digital and ERP: SUBCONTRACTOR COST</t>
  </si>
  <si>
    <t xml:space="preserve">SUBCONTRACTOR COST (EUR ex VAT)</t>
  </si>
  <si>
    <t xml:space="preserve">FIRM BY GRADE</t>
  </si>
  <si>
    <t xml:space="preserve">Partner: UTILISATION (target 40%)</t>
  </si>
  <si>
    <t xml:space="preserve">Director: UTILISATION (target 60%)</t>
  </si>
  <si>
    <t xml:space="preserve">Manager: UTILISATION (target 75%)</t>
  </si>
  <si>
    <t xml:space="preserve">Senior consultant: UTILISATION (target 82%)</t>
  </si>
  <si>
    <t xml:space="preserve">Consultant: UTILISATION (target 82%)</t>
  </si>
  <si>
    <t xml:space="preserve">Available hours</t>
  </si>
  <si>
    <t xml:space="preserve">Hours of new work not yet identified</t>
  </si>
  <si>
    <t xml:space="preserve">Chargeable hours demanded</t>
  </si>
  <si>
    <t xml:space="preserve">Chargeable hours, own staff</t>
  </si>
  <si>
    <t xml:space="preserve">Chargeable hours, subcontractors</t>
  </si>
  <si>
    <t xml:space="preserve">UTILISATION (own chargeable / available)</t>
  </si>
  <si>
    <t xml:space="preserve">Target utilisation, weighted by available hours</t>
  </si>
  <si>
    <t xml:space="preserve">sum of available x target / available</t>
  </si>
  <si>
    <t xml:space="preserve">Cost of hours below target (standard cost rate; negative = above target)</t>
  </si>
  <si>
    <t xml:space="preserve">(available x target - own) x standard cost rate x pay factor</t>
  </si>
  <si>
    <t xml:space="preserve">Leverage: fee earners per partner (partners incl. the founder)</t>
  </si>
  <si>
    <t xml:space="preserve">(fee earners - partners) / (partners + founder)</t>
  </si>
  <si>
    <t xml:space="preserve">PEOPLE: HIRING, ATTRITION, HEADCOUNT, PAYROLL, SOCIAL SECURITY, WAGE TAX AND BONUS (EUR)</t>
  </si>
  <si>
    <t xml:space="preserve">Fee earners by practice and grade; the founder and central staff from the staff table. Employer and employee social security per head apply the monthly ceilings of the year (BMAS), so partners, directors and managers pay nothing above them. Social security is paid on the third-last banking day of the month; wage tax by the 10th of the next month. Forecast attrition leaves at the base rate x scenario factor and is replaced three months later unless hiring is frozen.</t>
  </si>
  <si>
    <t xml:space="preserve">HIRING PLAN (forecast months; weighted by the scenario flags and, where linked, the win probability of the work)</t>
  </si>
  <si>
    <t xml:space="preserve">OPS consultant: +1 from Sep-26 (graduate intake Sep-26, contract signed)</t>
  </si>
  <si>
    <t xml:space="preserve">month x weight</t>
  </si>
  <si>
    <t xml:space="preserve">DIG consultant: +1 from Sep-26 (graduate intake Sep-26, contract signed)</t>
  </si>
  <si>
    <t xml:space="preserve">DIG senior consultant: +1 from Oct-26 (replaces the June leaver, offer accepted)</t>
  </si>
  <si>
    <t xml:space="preserve">FIN senior consultant: +1 from Jan-27 (finance transformation growth)</t>
  </si>
  <si>
    <t xml:space="preserve">OPS manager: +1 from Jan-27 (Norlach footprint phase 3 (pipeline))</t>
  </si>
  <si>
    <t xml:space="preserve">DIG manager: +1 from Apr-27 (Eberstal rollout wave 2 (pipeline))</t>
  </si>
  <si>
    <t xml:space="preserve">OPS consultant: +1 from Sep-27 (graduate intake Sep-27)</t>
  </si>
  <si>
    <t xml:space="preserve">FIN consultant: +1 from Sep-27 (graduate intake Sep-27)</t>
  </si>
  <si>
    <t xml:space="preserve">Hires in the month (weighted)</t>
  </si>
  <si>
    <t xml:space="preserve">Recruitment cost of planned hires (agency fees and campus)</t>
  </si>
  <si>
    <t xml:space="preserve">experienced: fee x first-year salary; graduates: campus cost</t>
  </si>
  <si>
    <t xml:space="preserve">PAY PER HEAD BY GRADE (monthly)</t>
  </si>
  <si>
    <t xml:space="preserve">Bonus accrual factor (share of target)</t>
  </si>
  <si>
    <t xml:space="preserve">A: actual rate; F: scenario</t>
  </si>
  <si>
    <t xml:space="preserve">Partner: monthly salary</t>
  </si>
  <si>
    <t xml:space="preserve">annual salary / 12 x pay factor</t>
  </si>
  <si>
    <t xml:space="preserve">Partner: employer social security per head</t>
  </si>
  <si>
    <t xml:space="preserve">rates x salary capped at the ceilings of the year</t>
  </si>
  <si>
    <t xml:space="preserve">Partner: employee social security per head (withheld)</t>
  </si>
  <si>
    <t xml:space="preserve">Director: monthly salary</t>
  </si>
  <si>
    <t xml:space="preserve">Director: employer social security per head</t>
  </si>
  <si>
    <t xml:space="preserve">Director: employee social security per head (withheld)</t>
  </si>
  <si>
    <t xml:space="preserve">Manager: monthly salary</t>
  </si>
  <si>
    <t xml:space="preserve">Manager: employer social security per head</t>
  </si>
  <si>
    <t xml:space="preserve">Manager: employee social security per head (withheld)</t>
  </si>
  <si>
    <t xml:space="preserve">Senior consultant: monthly salary</t>
  </si>
  <si>
    <t xml:space="preserve">Senior consultant: employer social security per head</t>
  </si>
  <si>
    <t xml:space="preserve">Senior consultant: employee social security per head (withheld)</t>
  </si>
  <si>
    <t xml:space="preserve">Consultant: monthly salary</t>
  </si>
  <si>
    <t xml:space="preserve">Consultant: employer social security per head</t>
  </si>
  <si>
    <t xml:space="preserve">Consultant: employee social security per head (withheld)</t>
  </si>
  <si>
    <t xml:space="preserve">Severance on separations (management response)</t>
  </si>
  <si>
    <t xml:space="preserve">separations x average monthly salary x 0.5 x years of service</t>
  </si>
  <si>
    <t xml:space="preserve">FEE EARNERS: OPERATIONS AND SUPPLY CHAIN</t>
  </si>
  <si>
    <t xml:space="preserve">Partner: expected leavers</t>
  </si>
  <si>
    <t xml:space="preserve">F: prior headcount x attrition x factor / 12</t>
  </si>
  <si>
    <t xml:space="preserve">Partner: replacements (three months later)</t>
  </si>
  <si>
    <t xml:space="preserve">F: leavers three months earlier x replacement flag</t>
  </si>
  <si>
    <t xml:space="preserve">Partner: HEADCOUNT</t>
  </si>
  <si>
    <t xml:space="preserve">A: payroll; F: prior + hires - leavers + replacements</t>
  </si>
  <si>
    <t xml:space="preserve">Director: expected leavers</t>
  </si>
  <si>
    <t xml:space="preserve">Director: replacements (three months later)</t>
  </si>
  <si>
    <t xml:space="preserve">Director: HEADCOUNT</t>
  </si>
  <si>
    <t xml:space="preserve">Manager: expected leavers</t>
  </si>
  <si>
    <t xml:space="preserve">Manager: replacements (three months later)</t>
  </si>
  <si>
    <t xml:space="preserve">Manager: HEADCOUNT</t>
  </si>
  <si>
    <t xml:space="preserve">Senior consultant: expected leavers</t>
  </si>
  <si>
    <t xml:space="preserve">Senior consultant: replacements (three months later)</t>
  </si>
  <si>
    <t xml:space="preserve">Senior consultant: HEADCOUNT</t>
  </si>
  <si>
    <t xml:space="preserve">A: payroll; F: prior + hires - leavers + replacements - separations</t>
  </si>
  <si>
    <t xml:space="preserve">Consultant: expected leavers</t>
  </si>
  <si>
    <t xml:space="preserve">Consultant: replacements (three months later)</t>
  </si>
  <si>
    <t xml:space="preserve">Consultant: HEADCOUNT</t>
  </si>
  <si>
    <t xml:space="preserve">Gross salaries</t>
  </si>
  <si>
    <t xml:space="preserve">A: payroll; F: headcount x monthly salary</t>
  </si>
  <si>
    <t xml:space="preserve">Employer social security</t>
  </si>
  <si>
    <t xml:space="preserve">A: payroll; F: headcount x per head</t>
  </si>
  <si>
    <t xml:space="preserve">Employee social security withheld</t>
  </si>
  <si>
    <t xml:space="preserve">headcount x per head</t>
  </si>
  <si>
    <t xml:space="preserve">Wage tax withheld</t>
  </si>
  <si>
    <t xml:space="preserve">headcount x salary x average rate</t>
  </si>
  <si>
    <t xml:space="preserve">Bonus accrued, gross</t>
  </si>
  <si>
    <t xml:space="preserve">headcount x salary x target x factor</t>
  </si>
  <si>
    <t xml:space="preserve">Employer contributions on the bonus accrued</t>
  </si>
  <si>
    <t xml:space="preserve">bonus x rate by grade</t>
  </si>
  <si>
    <t xml:space="preserve">PAYROLL COST EXCL. BONUS</t>
  </si>
  <si>
    <t xml:space="preserve">gross + employer social security</t>
  </si>
  <si>
    <t xml:space="preserve">FEE EARNERS</t>
  </si>
  <si>
    <t xml:space="preserve">FEE EARNERS: FINANCE AND PERFORMANCE</t>
  </si>
  <si>
    <t xml:space="preserve">FEE EARNERS: DIGITAL AND ERP</t>
  </si>
  <si>
    <t xml:space="preserve">FOUNDER AND CENTRAL STAFF (C = monthly gross FY2026, D = start month)</t>
  </si>
  <si>
    <t xml:space="preserve">Founder and managing partner (majority shareholder, not socially insured)</t>
  </si>
  <si>
    <t xml:space="preserve">gross x pay factor x active flag</t>
  </si>
  <si>
    <t xml:space="preserve">Accountant (finance and payroll)</t>
  </si>
  <si>
    <t xml:space="preserve">Recruiting coordinator</t>
  </si>
  <si>
    <t xml:space="preserve">Marketing and business development manager</t>
  </si>
  <si>
    <t xml:space="preserve">IT and knowledge manager</t>
  </si>
  <si>
    <t xml:space="preserve">Executive assistant and office manager</t>
  </si>
  <si>
    <t xml:space="preserve">Founder and managing partner: employer social security</t>
  </si>
  <si>
    <t xml:space="preserve">not socially insured</t>
  </si>
  <si>
    <t xml:space="preserve">Head of finance and operations: employer social security</t>
  </si>
  <si>
    <t xml:space="preserve">rates x gross capped at the ceilings</t>
  </si>
  <si>
    <t xml:space="preserve">Accountant: employer social security</t>
  </si>
  <si>
    <t xml:space="preserve">HR and recruiting lead: employer social security</t>
  </si>
  <si>
    <t xml:space="preserve">Recruiting coordinator: employer social security</t>
  </si>
  <si>
    <t xml:space="preserve">Marketing and business development manager: employer social security</t>
  </si>
  <si>
    <t xml:space="preserve">IT and knowledge manager: employer social security</t>
  </si>
  <si>
    <t xml:space="preserve">Executive assistant and office manager: employer social security</t>
  </si>
  <si>
    <t xml:space="preserve">Founder and managing partner: employee social security</t>
  </si>
  <si>
    <t xml:space="preserve">Head of finance and operations: employee social security</t>
  </si>
  <si>
    <t xml:space="preserve">Accountant: employee social security</t>
  </si>
  <si>
    <t xml:space="preserve">HR and recruiting lead: employee social security</t>
  </si>
  <si>
    <t xml:space="preserve">Recruiting coordinator: employee social security</t>
  </si>
  <si>
    <t xml:space="preserve">Marketing and business development manager: employee social security</t>
  </si>
  <si>
    <t xml:space="preserve">IT and knowledge manager: employee social security</t>
  </si>
  <si>
    <t xml:space="preserve">Executive assistant and office manager: employee social security</t>
  </si>
  <si>
    <t xml:space="preserve">Founder and central staff: gross salaries</t>
  </si>
  <si>
    <t xml:space="preserve">A: payroll; F: staff table</t>
  </si>
  <si>
    <t xml:space="preserve">Founder and central staff: employer social security</t>
  </si>
  <si>
    <t xml:space="preserve">Founder and central staff: employee social security withheld</t>
  </si>
  <si>
    <t xml:space="preserve">staff table</t>
  </si>
  <si>
    <t xml:space="preserve">Founder and central staff: wage tax withheld</t>
  </si>
  <si>
    <t xml:space="preserve">(gross - founder) x central rate + founder x founder rate</t>
  </si>
  <si>
    <t xml:space="preserve">Central staff bonus accrued, gross (not the founder)</t>
  </si>
  <si>
    <t xml:space="preserve">(gross - founder) x target x factor</t>
  </si>
  <si>
    <t xml:space="preserve">Employer contributions on the central staff bonus</t>
  </si>
  <si>
    <t xml:space="preserve">bonus x consultant-level rate (below both ceilings)</t>
  </si>
  <si>
    <t xml:space="preserve">FOUNDER AND CENTRAL STAFF PAYROLL COST EXCL. BONUS</t>
  </si>
  <si>
    <t xml:space="preserve">Founder and central staff headcount</t>
  </si>
  <si>
    <t xml:space="preserve">active roles</t>
  </si>
  <si>
    <t xml:space="preserve">TOTALS, BONUS PROVISION AND PAYROLL LIABILITIES</t>
  </si>
  <si>
    <t xml:space="preserve">TOTAL HEADCOUNT</t>
  </si>
  <si>
    <t xml:space="preserve">Fee-earner payroll cost excl. bonus</t>
  </si>
  <si>
    <t xml:space="preserve">Fee-earner bonus accrued incl. employer contributions</t>
  </si>
  <si>
    <t xml:space="preserve">Central staff bonus accrued incl. employer contributions</t>
  </si>
  <si>
    <t xml:space="preserve">Bonus accrued (P&amp;L)</t>
  </si>
  <si>
    <t xml:space="preserve">Prior-year bonus paid (provision utilised)</t>
  </si>
  <si>
    <t xml:space="preserve">A: payroll; F: March, provision at the prior December</t>
  </si>
  <si>
    <t xml:space="preserve">BONUS PROVISION (to balance sheet)</t>
  </si>
  <si>
    <t xml:space="preserve">opening + accrued - utilised</t>
  </si>
  <si>
    <t xml:space="preserve">Bonus paid: employer contributions</t>
  </si>
  <si>
    <t xml:space="preserve">utilised x employer share</t>
  </si>
  <si>
    <t xml:space="preserve">Bonus paid: gross</t>
  </si>
  <si>
    <t xml:space="preserve">utilised - employer contributions</t>
  </si>
  <si>
    <t xml:space="preserve">Bonus paid: wage tax withheld</t>
  </si>
  <si>
    <t xml:space="preserve">gross x bonus rate</t>
  </si>
  <si>
    <t xml:space="preserve">Bonus paid: employee contributions withheld</t>
  </si>
  <si>
    <t xml:space="preserve">equal to the employer contributions</t>
  </si>
  <si>
    <t xml:space="preserve">Bonus paid: net (with the March payroll)</t>
  </si>
  <si>
    <t xml:space="preserve">Gross salaries, all staff (excl. bonus)</t>
  </si>
  <si>
    <t xml:space="preserve">Employee social security withheld (salaries)</t>
  </si>
  <si>
    <t xml:space="preserve">Employer social security (salaries)</t>
  </si>
  <si>
    <t xml:space="preserve">Wage tax withheld (salaries)</t>
  </si>
  <si>
    <t xml:space="preserve">Net salaries paid (last banking day)</t>
  </si>
  <si>
    <t xml:space="preserve">gross - employee contributions - wage tax</t>
  </si>
  <si>
    <t xml:space="preserve">Social security paid (third-last banking day, same month)</t>
  </si>
  <si>
    <t xml:space="preserve">employer + employee, salaries and bonus</t>
  </si>
  <si>
    <t xml:space="preserve">Wage tax payable: opening</t>
  </si>
  <si>
    <t xml:space="preserve">Wage tax withheld in the month (salaries and bonus)</t>
  </si>
  <si>
    <t xml:space="preserve">Wage tax paid (prior month, by the 10th)</t>
  </si>
  <si>
    <t xml:space="preserve">WAGE TAX PAYABLE (to balance sheet)</t>
  </si>
  <si>
    <t xml:space="preserve">REVENUE VISIBILITY, PIPELINE, SALES RECORD AND CLIENT CONCENTRATION (EUR)</t>
  </si>
  <si>
    <t xml:space="preserve">Fee revenue split by how secure it is: signed engagements (completed, in progress, contracted), the named pipeline (win-weighted) and a labelled run-rate of new work not yet identified. Tables below list the opportunities, the sales record and client concentration.</t>
  </si>
  <si>
    <t xml:space="preserve">FEE REVENUE BY SECURITY</t>
  </si>
  <si>
    <t xml:space="preserve">Signed engagements</t>
  </si>
  <si>
    <t xml:space="preserve">Named pipeline (win-weighted)</t>
  </si>
  <si>
    <t xml:space="preserve">New work not yet identified (gap to target utilisation x scenario share)</t>
  </si>
  <si>
    <t xml:space="preserve">BACKLOG</t>
  </si>
  <si>
    <t xml:space="preserve">Months of fee revenue in hand (signed backlog / FY2026 average monthly fees)</t>
  </si>
  <si>
    <t xml:space="preserve">NAMED OPPORTUNITIES AND NEW WORK NOT YET IDENTIFIED (selected scenario)</t>
  </si>
  <si>
    <t xml:space="preserve">Description</t>
  </si>
  <si>
    <t xml:space="preserve">Value (EUR)</t>
  </si>
  <si>
    <t xml:space="preserve">Win % Base</t>
  </si>
  <si>
    <t xml:space="preserve">Win % Downside</t>
  </si>
  <si>
    <t xml:space="preserve">Win % Upside</t>
  </si>
  <si>
    <t xml:space="preserve">Win % selected</t>
  </si>
  <si>
    <t xml:space="preserve">Weighted value</t>
  </si>
  <si>
    <t xml:space="preserve">Start</t>
  </si>
  <si>
    <t xml:space="preserve">NEW</t>
  </si>
  <si>
    <t xml:space="preserve">Various</t>
  </si>
  <si>
    <t xml:space="preserve">New work not yet identified, FY2027 fees (gap to target utilisation; value at 100% of the gap)</t>
  </si>
  <si>
    <t xml:space="preserve">All</t>
  </si>
  <si>
    <t xml:space="preserve">SALES RECORD, JAN-26 TO AUG-26 (CRM, fictional)</t>
  </si>
  <si>
    <t xml:space="preserve">Proposals submitted</t>
  </si>
  <si>
    <t xml:space="preserve">Value proposed (EUR)</t>
  </si>
  <si>
    <t xml:space="preserve">Won (count)</t>
  </si>
  <si>
    <t xml:space="preserve">Won (EUR)</t>
  </si>
  <si>
    <t xml:space="preserve">Lost (count)</t>
  </si>
  <si>
    <t xml:space="preserve">Lost (EUR)</t>
  </si>
  <si>
    <t xml:space="preserve">Still open (count)</t>
  </si>
  <si>
    <t xml:space="preserve">Win rate on decided proposals (count)</t>
  </si>
  <si>
    <t xml:space="preserve">Win rate on decided proposals (value)</t>
  </si>
  <si>
    <t xml:space="preserve">Average engagement won (EUR)</t>
  </si>
  <si>
    <t xml:space="preserve">CLIENT CONCENTRATION (revenue incl. travel rebilled; prospects and new clients win-weighted)</t>
  </si>
  <si>
    <t xml:space="preserve">Sector</t>
  </si>
  <si>
    <t xml:space="preserve">Revenue FY2026</t>
  </si>
  <si>
    <t xml:space="preserve">Share FY2026</t>
  </si>
  <si>
    <t xml:space="preserve">Revenue FY2027</t>
  </si>
  <si>
    <t xml:space="preserve">Share FY2027</t>
  </si>
  <si>
    <t xml:space="preserve">Receivable at last actual</t>
  </si>
  <si>
    <t xml:space="preserve">Debtor days at last actual</t>
  </si>
  <si>
    <t xml:space="preserve">Eberstal Medizintechnik AG</t>
  </si>
  <si>
    <t xml:space="preserve">Medical technology</t>
  </si>
  <si>
    <t xml:space="preserve">Norlach Antriebstechnik GmbH</t>
  </si>
  <si>
    <t xml:space="preserve">Automotive drive technology (Tier 1 supplier)</t>
  </si>
  <si>
    <t xml:space="preserve">Wittenfels Holding GmbH</t>
  </si>
  <si>
    <t xml:space="preserve">Private equity owned industrial group</t>
  </si>
  <si>
    <t xml:space="preserve">Rindelmann Maschinenbau GmbH</t>
  </si>
  <si>
    <t xml:space="preserve">Special machinery</t>
  </si>
  <si>
    <t xml:space="preserve">Zorneck Logistik GmbH</t>
  </si>
  <si>
    <t xml:space="preserve">Contract logistics</t>
  </si>
  <si>
    <t xml:space="preserve">Ulmhardt Verpackungen GmbH</t>
  </si>
  <si>
    <t xml:space="preserve">Packaging</t>
  </si>
  <si>
    <t xml:space="preserve">Sauerbeck Lebensmittel GmbH</t>
  </si>
  <si>
    <t xml:space="preserve">Food manufacturing</t>
  </si>
  <si>
    <t xml:space="preserve">Varnholt Chemie GmbH</t>
  </si>
  <si>
    <t xml:space="preserve">Specialty chemicals</t>
  </si>
  <si>
    <t xml:space="preserve">Teggwerk Elektronik GmbH</t>
  </si>
  <si>
    <t xml:space="preserve">Electronics manufacturing</t>
  </si>
  <si>
    <t xml:space="preserve">Pelzhoff Kunststofftechnik GmbH</t>
  </si>
  <si>
    <t xml:space="preserve">Automotive plastic parts; insolvency application Jul-26</t>
  </si>
  <si>
    <t xml:space="preserve">Stelzhof Industrie AG</t>
  </si>
  <si>
    <t xml:space="preserve">Industrial components</t>
  </si>
  <si>
    <t xml:space="preserve">Sornegg Präzision AG</t>
  </si>
  <si>
    <t xml:space="preserve">Precision parts</t>
  </si>
  <si>
    <t xml:space="preserve">MER</t>
  </si>
  <si>
    <t xml:space="preserve">Merzbach Fenster GmbH</t>
  </si>
  <si>
    <t xml:space="preserve">Windows and doors (prospect)</t>
  </si>
  <si>
    <t xml:space="preserve">New work not yet identified (new clients and extensions)</t>
  </si>
  <si>
    <t xml:space="preserve">Fills the gap to target utilisation by grade (scenario share)</t>
  </si>
  <si>
    <t xml:space="preserve">Largest client share of revenue, FY2026</t>
  </si>
  <si>
    <t xml:space="preserve">Top five clients share of revenue, FY2026</t>
  </si>
  <si>
    <t xml:space="preserve">Largest client share of revenue, FY2027</t>
  </si>
  <si>
    <t xml:space="preserve">Top five clients share of revenue, FY2027</t>
  </si>
  <si>
    <t xml:space="preserve">Concentration excludes the run-rate of new clients not yet identified (last row of the table).</t>
  </si>
  <si>
    <t xml:space="preserve">TRADE RECEIVABLES, CREDIT LOSS PROVISIONS AND DEBTOR DAYS (EUR)</t>
  </si>
  <si>
    <t xml:space="preserve">Receivables by group. Pelzhoff: output VAT corrected in the month of the insolvency application (UStG s17; UStAE 17.1(16)) and the net claim provided at 95% (IFRS 9 credit-impaired). Every other receivable carries the general expected credit loss rate (simplified approach).</t>
  </si>
  <si>
    <t xml:space="preserve">RECEIVABLES BY GROUP (incl. VAT)</t>
  </si>
  <si>
    <t xml:space="preserve">Clients in Germany (excl. Pelzhoff)</t>
  </si>
  <si>
    <t xml:space="preserve">Clients in Austria and Switzerland (no German VAT)</t>
  </si>
  <si>
    <t xml:space="preserve">Pelzhoff (insolvent; net of the VAT corrected)</t>
  </si>
  <si>
    <t xml:space="preserve">TRADE RECEIVABLES, GROSS</t>
  </si>
  <si>
    <t xml:space="preserve">PROVISIONS (IFRS 9)</t>
  </si>
  <si>
    <t xml:space="preserve">Pelzhoff: specific provision charged</t>
  </si>
  <si>
    <t xml:space="preserve">A: ledger; F: none</t>
  </si>
  <si>
    <t xml:space="preserve">Pelzhoff: specific provision held</t>
  </si>
  <si>
    <t xml:space="preserve">opening + charge</t>
  </si>
  <si>
    <t xml:space="preserve">General expected credit loss rate</t>
  </si>
  <si>
    <t xml:space="preserve">A: policy; F: scenario</t>
  </si>
  <si>
    <t xml:space="preserve">Receivables under the general provision</t>
  </si>
  <si>
    <t xml:space="preserve">gross less Pelzhoff from its application</t>
  </si>
  <si>
    <t xml:space="preserve">General provision held</t>
  </si>
  <si>
    <t xml:space="preserve">base x rate</t>
  </si>
  <si>
    <t xml:space="preserve">General provision charge / (release)</t>
  </si>
  <si>
    <t xml:space="preserve">movement</t>
  </si>
  <si>
    <t xml:space="preserve">BAD DEBTS AND CREDIT LOSSES (P&amp;L)</t>
  </si>
  <si>
    <t xml:space="preserve">TRADE RECEIVABLES, NET (to balance sheet)</t>
  </si>
  <si>
    <t xml:space="preserve">INVOICED, COLLECTED AND DAYS</t>
  </si>
  <si>
    <t xml:space="preserve">Debtor days (gross receivables / invoicing of the last three months x days)</t>
  </si>
  <si>
    <t xml:space="preserve">Debtor days excluding Pelzhoff</t>
  </si>
  <si>
    <t xml:space="preserve">AGED RECEIVABLES AT THE LAST ACTUAL MONTH (EUR, incl. VAT)</t>
  </si>
  <si>
    <t xml:space="preserve">Open invoices by client aged by due date. Group totals must agree with the ledger. Pelzhoff is shown net of the output VAT corrected in July.</t>
  </si>
  <si>
    <t xml:space="preserve">As at</t>
  </si>
  <si>
    <t xml:space="preserve">Counterparty (fictional)</t>
  </si>
  <si>
    <t xml:space="preserve">Item / document</t>
  </si>
  <si>
    <t xml:space="preserve">Group</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</si>
  <si>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</si>
  <si>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</si>
  <si>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</si>
  <si>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</si>
  <si>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</si>
  <si>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</si>
  <si>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</si>
  <si>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</si>
  <si>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</si>
  <si>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August invoices: programme office (July time) and expenses</t>
  </si>
  <si>
    <t xml:space="preserve">Clients in Germany</t>
  </si>
  <si>
    <t xml:space="preserve">45-day terms; invoices go through the client supplier portal.</t>
  </si>
  <si>
    <t xml:space="preserve">July invoices: programme office (June time) and expenses</t>
  </si>
  <si>
    <t xml:space="preserve">Approved in the portal on 28-Aug; payment run 4-Sep.</t>
  </si>
  <si>
    <t xml:space="preserve">August invoice: footprint programme (July time)</t>
  </si>
  <si>
    <t xml:space="preserve">60-day terms via the supplier portal.</t>
  </si>
  <si>
    <t xml:space="preserve">July invoice: footprint programme (June time)</t>
  </si>
  <si>
    <t xml:space="preserve">60-day terms.</t>
  </si>
  <si>
    <t xml:space="preserve">June invoice: footprint programme (May time)</t>
  </si>
  <si>
    <t xml:space="preserve">Overdue: held in the portal pending the phase 2 cap sign-off; chased weekly.</t>
  </si>
  <si>
    <t xml:space="preserve">August invoice: post-merger integration (July time)</t>
  </si>
  <si>
    <t xml:space="preserve">30-day terms; private equity owner pays on time.</t>
  </si>
  <si>
    <t xml:space="preserve">Final milestone, warehouse network redesign</t>
  </si>
  <si>
    <t xml:space="preserve">Invoiced on acceptance of the final report.</t>
  </si>
  <si>
    <t xml:space="preserve">August invoice (July time and expenses)</t>
  </si>
  <si>
    <t xml:space="preserve">45-day terms.</t>
  </si>
  <si>
    <t xml:space="preserve">July invoice (June time and expenses)</t>
  </si>
  <si>
    <t xml:space="preserve">Paid 3-Sep per the bank.</t>
  </si>
  <si>
    <t xml:space="preserve">Interim milestone, S/4HANA readiness assessment (invoiced 31-Aug)</t>
  </si>
  <si>
    <t xml:space="preserve">30-day terms.</t>
  </si>
  <si>
    <t xml:space="preserve">August invoice: data platform (July time)</t>
  </si>
  <si>
    <t xml:space="preserve">July invoices: data platform (June time) and the working capital interim milestone</t>
  </si>
  <si>
    <t xml:space="preserve">Payment promised for the September run.</t>
  </si>
  <si>
    <t xml:space="preserve">August invoice (July time and travel)</t>
  </si>
  <si>
    <t xml:space="preserve">Clients in Austria and Switzerland</t>
  </si>
  <si>
    <t xml:space="preserve">Switzerland: outside the scope of German VAT.</t>
  </si>
  <si>
    <t xml:space="preserve">Invoice for June time (issued 1-Jul), net of the VAT corrected</t>
  </si>
  <si>
    <t xml:space="preserve">Insolvent client</t>
  </si>
  <si>
    <t xml:space="preserve">Insolvency application 20-Jul-26. Claim filed with the administrator. 95% provided; output VAT corrected in July (UStG s17).</t>
  </si>
  <si>
    <t xml:space="preserve">Invoice for May time (issued 1-Jun), net of the VAT corrected</t>
  </si>
  <si>
    <t xml:space="preserve">As above.</t>
  </si>
  <si>
    <t xml:space="preserve">Invoice for April time (issued 1-May), balance, net of the VAT corrected</t>
  </si>
  <si>
    <t xml:space="preserve">Share of total</t>
  </si>
  <si>
    <t xml:space="preserve">Clients in Germany: aging vs ledger</t>
  </si>
  <si>
    <t xml:space="preserve">Ledger balance</t>
  </si>
  <si>
    <t xml:space="preserve">Difference</t>
  </si>
  <si>
    <t xml:space="preserve">Clients in Austria and Switzerland: aging vs ledger</t>
  </si>
  <si>
    <t xml:space="preserve">Insolvent client: aging vs ledger</t>
  </si>
  <si>
    <t xml:space="preserve">AGED PAYABLES AT THE LAST ACTUAL MONTH (EUR)</t>
  </si>
  <si>
    <t xml:space="preserve">Open supplier balances aged by due date. Group totals must agree with the Payables schedule.</t>
  </si>
  <si>
    <t xml:space="preserve">Freelance SAP programme manager (sole trader, Munich)</t>
  </si>
  <si>
    <t xml:space="preserve">August hours, Eberstal programme office</t>
  </si>
  <si>
    <t xml:space="preserve">Timesheets approved by the engagement manager; 30-day terms; status reviewed for false self-employment (SGB IV s7a).</t>
  </si>
  <si>
    <t xml:space="preserve">Freelance data engineer (sole trader, Stuttgart)</t>
  </si>
  <si>
    <t xml:space="preserve">August hours, Varnholt data platform</t>
  </si>
  <si>
    <t xml:space="preserve">Interim network of senior consultants (GmbH)</t>
  </si>
  <si>
    <t xml:space="preserve">August hours, two consultants</t>
  </si>
  <si>
    <t xml:space="preserve">Other freelancers (4 invoices)</t>
  </si>
  <si>
    <t xml:space="preserve">August hours</t>
  </si>
  <si>
    <t xml:space="preserve">Corporate card statement (travel and hotels)</t>
  </si>
  <si>
    <t xml:space="preserve">August statement</t>
  </si>
  <si>
    <t xml:space="preserve">Travel and expenses</t>
  </si>
  <si>
    <t xml:space="preserve">Coded to engagements; rebillable share invoiced with the September invoices.</t>
  </si>
  <si>
    <t xml:space="preserve">Employee expense claims</t>
  </si>
  <si>
    <t xml:space="preserve">August claims, paid with the September payroll</t>
  </si>
  <si>
    <t xml:space="preserve">Software and data subscriptions (11 vendors)</t>
  </si>
  <si>
    <t xml:space="preserve">August renewals</t>
  </si>
  <si>
    <t xml:space="preserve">Tax adviser and payroll bureau</t>
  </si>
  <si>
    <t xml:space="preserve">August fees</t>
  </si>
  <si>
    <t xml:space="preserve">Leasing company (company cars)</t>
  </si>
  <si>
    <t xml:space="preserve">September instalments</t>
  </si>
  <si>
    <t xml:space="preserve">Sundry overhead suppliers (14 invoices)</t>
  </si>
  <si>
    <t xml:space="preserve">Office, events and IT</t>
  </si>
  <si>
    <t xml:space="preserve">Subcontractors: aging vs schedule</t>
  </si>
  <si>
    <t xml:space="preserve">Travel and expenses: aging vs schedule</t>
  </si>
  <si>
    <t xml:space="preserve">Overheads: aging vs schedule</t>
  </si>
  <si>
    <t xml:space="preserve">TRADE PAYABLES BY SUPPLIER GROUP (EUR)</t>
  </si>
  <si>
    <t xml:space="preserve">Subcontractors (German VAT on the registered share), travel card statements and expense claims (recoverable VAT at the company average), overhead suppliers (VAT by line). Rent is paid in advance and carries no payable. Actual payments per bank; forecast payments sized to the days payable.</t>
  </si>
  <si>
    <t xml:space="preserve">SUBCONTRACTORS</t>
  </si>
  <si>
    <t xml:space="preserve">Invoices received (incl. VAT)</t>
  </si>
  <si>
    <t xml:space="preserve">Opening balance</t>
  </si>
  <si>
    <t xml:space="preserve">Paid</t>
  </si>
  <si>
    <t xml:space="preserve">A: bank; F: opening + invoices - closing at days payable</t>
  </si>
  <si>
    <t xml:space="preserve">CLOSING BALANCE</t>
  </si>
  <si>
    <t xml:space="preserve">TRAVEL CARD STATEMENTS AND EXPENSE CLAIMS</t>
  </si>
  <si>
    <t xml:space="preserve">OVERHEAD SUPPLIERS (excl. rent)</t>
  </si>
  <si>
    <t xml:space="preserve">TOTALS</t>
  </si>
  <si>
    <t xml:space="preserve">TRADE PAYABLES (to balance sheet)</t>
  </si>
  <si>
    <t xml:space="preserve">VAT: MONTHLY RETURNS UNDER THE ONE-MONTH EXTENSION (Dauerfristverlaengerung)</t>
  </si>
  <si>
    <t xml:space="preserve">Output VAT at 19% on German clients only (Austria: reverse charge; Switzerland: outside the scope). Foreign software is reverse charged (UStG s13b, output and input net to zero). Each month is paid on the 10th of the second month. The special prepayment (1/11 of the prior-year prepayments) is paid on 10-Feb and credited against the December return paid the following February (UStDV s48).</t>
  </si>
  <si>
    <t xml:space="preserve">OUTPUT VAT</t>
  </si>
  <si>
    <t xml:space="preserve">German clients (19%)</t>
  </si>
  <si>
    <t xml:space="preserve">Reverse charge on software bought from abroad</t>
  </si>
  <si>
    <t xml:space="preserve">base x 19%</t>
  </si>
  <si>
    <t xml:space="preserve">Correction on the uncollectible Pelzhoff balance (UStG s17)</t>
  </si>
  <si>
    <t xml:space="preserve">Total output VAT</t>
  </si>
  <si>
    <t xml:space="preserve">INPUT VAT (recoverable)</t>
  </si>
  <si>
    <t xml:space="preserve">Reverse charge (same amount as output)</t>
  </si>
  <si>
    <t xml:space="preserve">Overheads incl. rent</t>
  </si>
  <si>
    <t xml:space="preserve">Capex</t>
  </si>
  <si>
    <t xml:space="preserve">Total input VAT</t>
  </si>
  <si>
    <t xml:space="preserve">RETURNS, PAYMENTS AND THE SPECIAL PREPAYMENT</t>
  </si>
  <si>
    <t xml:space="preserve">Net VAT for the month (output - input)</t>
  </si>
  <si>
    <t xml:space="preserve">Opening VAT payable (two open months less the special prepayment)</t>
  </si>
  <si>
    <t xml:space="preserve">Return paid (month two months earlier, by the 10th; December less the special prepayment)</t>
  </si>
  <si>
    <t xml:space="preserve">Special prepayment paid (10-Feb: 1/11 of the prior-year returns)</t>
  </si>
  <si>
    <t xml:space="preserve">CLOSING VAT PAYABLE</t>
  </si>
  <si>
    <t xml:space="preserve">Check: closing = the last two months net less the special prepayment held</t>
  </si>
  <si>
    <t xml:space="preserve">Reverse charge supplies to Austria for the ZM (fees and expenses invoiced)</t>
  </si>
  <si>
    <t xml:space="preserve">CORPORATE INCOME TAX, SOLIDARITY SURCHARGE AND TRADE TAX (EUR)</t>
  </si>
  <si>
    <t xml:space="preserve">Charged on the year-to-date taxable profit so that the full-year charge is exact (no tax on a year-to-date loss; no deferred tax asset recognised). Trade tax adds back a quarter of the financing components above the EUR 200,000 allowance (GewStG s8 no. 1) and is not deductible for corporate income tax. Prepayments per the notices; the FY2025 balances were paid after the July 2026 notices; the FY2026 assessment falls after the forecast horizon.</t>
  </si>
  <si>
    <t xml:space="preserve">TAXABLE PROFIT</t>
  </si>
  <si>
    <t xml:space="preserve">Profit before tax</t>
  </si>
  <si>
    <t xml:space="preserve">Add: non-deductible entertainment (30%)</t>
  </si>
  <si>
    <t xml:space="preserve">Taxable profit for corporate income tax</t>
  </si>
  <si>
    <t xml:space="preserve">Financing components for trade tax (interest + 50% rent + 20% car leases)</t>
  </si>
  <si>
    <t xml:space="preserve">Trade tax add-back, year to date (25% above the allowance)</t>
  </si>
  <si>
    <t xml:space="preserve">CORPORATE INCOME TAX AND SOLIDARITY SURCHARGE</t>
  </si>
  <si>
    <t xml:space="preserve">Charge on the year-to-date profit</t>
  </si>
  <si>
    <t xml:space="preserve">max(0, YTD base) x 15.825%</t>
  </si>
  <si>
    <t xml:space="preserve">CHARGE FOR THE MONTH (P&amp;L)</t>
  </si>
  <si>
    <t xml:space="preserve">movement in the year-to-date charge</t>
  </si>
  <si>
    <t xml:space="preserve">Prepayments (10-Mar, Jun, Sep, Dec)</t>
  </si>
  <si>
    <t xml:space="preserve">A: bank; F: FY2026 per notice (a quarter of FY2025 after July); FY2027 per the flag on Assumptions</t>
  </si>
  <si>
    <t xml:space="preserve">Prior-year balances paid</t>
  </si>
  <si>
    <t xml:space="preserve">A: bank; F: none in the horizon</t>
  </si>
  <si>
    <t xml:space="preserve">CORPORATE INCOME TAX PAYABLE / (RECEIVABLE)</t>
  </si>
  <si>
    <t xml:space="preserve">opening + charge - paid</t>
  </si>
  <si>
    <t xml:space="preserve">TRADE TAX (Munich, 490%)</t>
  </si>
  <si>
    <t xml:space="preserve">Charge on the year-to-date trade income</t>
  </si>
  <si>
    <t xml:space="preserve">max(0, YTD base + add-back) x 17.15%</t>
  </si>
  <si>
    <t xml:space="preserve">Prepayments (15-Feb, May, Aug, Nov)</t>
  </si>
  <si>
    <t xml:space="preserve">A: bank; F: as for corporate income tax</t>
  </si>
  <si>
    <t xml:space="preserve">TRADE TAX PAYABLE / (RECEIVABLE)</t>
  </si>
  <si>
    <t xml:space="preserve">Total tax charge</t>
  </si>
  <si>
    <t xml:space="preserve">Effective tax rate on profit before tax</t>
  </si>
  <si>
    <t xml:space="preserve">Tax paid</t>
  </si>
  <si>
    <t xml:space="preserve">OVERHEADS (EUR, ex VAT)</t>
  </si>
  <si>
    <t xml:space="preserve">Actual months from the ledger; forecast from the monthly base in column C with overhead inflation from FY2027 and the discretionary factor on marketing, training and entertainment. Recruitment = base + agency fees and campus costs of the planned hires. Column D holds the share of each line bearing German input VAT.</t>
  </si>
  <si>
    <t xml:space="preserve">FORECAST MONTHLY BASE (C = EUR per month at FY2026 prices; D = share bearing German input VAT)</t>
  </si>
  <si>
    <t xml:space="preserve">monthly base; VAT share</t>
  </si>
  <si>
    <t xml:space="preserve">Marketing, events and business development (discretionary)</t>
  </si>
  <si>
    <t xml:space="preserve">Training and certifications (discretionary)</t>
  </si>
  <si>
    <t xml:space="preserve">Client entertainment (30% not deductible) (discretionary)</t>
  </si>
  <si>
    <t xml:space="preserve">OVERHEAD LINES</t>
  </si>
  <si>
    <t xml:space="preserve">A: ledger; F: base x inflation</t>
  </si>
  <si>
    <t xml:space="preserve">A: ledger; F: base x inflation x discretionary factor</t>
  </si>
  <si>
    <t xml:space="preserve">TOTAL OVERHEADS</t>
  </si>
  <si>
    <t xml:space="preserve">Overheads bearing German input VAT</t>
  </si>
  <si>
    <t xml:space="preserve">line x VAT share</t>
  </si>
  <si>
    <t xml:space="preserve">IT and software bought from foreign vendors (reverse charge base)</t>
  </si>
  <si>
    <t xml:space="preserve">IT x reverse charge share</t>
  </si>
  <si>
    <t xml:space="preserve">Rent paid incl. VAT (in advance, first working day)</t>
  </si>
  <si>
    <t xml:space="preserve">rent x (1 + VAT)</t>
  </si>
  <si>
    <t xml:space="preserve">FIXED ASSETS AND DEPRECIATION</t>
  </si>
  <si>
    <t xml:space="preserve">Two classes, straight line over the lives on Assumptions. Actual capex from the asset register; forecast = IT replacement cycle + equipment for each new hire.</t>
  </si>
  <si>
    <t xml:space="preserve">IT EQUIPMENT</t>
  </si>
  <si>
    <t xml:space="preserve">Cost: opening</t>
  </si>
  <si>
    <t xml:space="preserve">Additions</t>
  </si>
  <si>
    <t xml:space="preserve">A: asset register; F: capex plan</t>
  </si>
  <si>
    <t xml:space="preserve">Cost: closing</t>
  </si>
  <si>
    <t xml:space="preserve">Accumulated depreciation: opening</t>
  </si>
  <si>
    <t xml:space="preserve">Depreciation charge</t>
  </si>
  <si>
    <t xml:space="preserve">min(NBV, cost / life)</t>
  </si>
  <si>
    <t xml:space="preserve">Accumulated depreciation: closing</t>
  </si>
  <si>
    <t xml:space="preserve">Net book value</t>
  </si>
  <si>
    <t xml:space="preserve">OFFICE FIT-OUT AND FURNITURE</t>
  </si>
  <si>
    <t xml:space="preserve">NET BOOK VALUE (to balance sheet)</t>
  </si>
  <si>
    <t xml:space="preserve">BANK LOAN, OVERDRAFT, DIVIDENDS WITH WITHHOLDING TAX AND THE FACILITY</t>
  </si>
  <si>
    <t xml:space="preserve">The FY2025 dividend was resolved and paid in June 2026; capital gains tax of 25% plus the solidarity surcharge is withheld and paid on the day of payment (EStG s43a, s44), so the whole gross dividend leaves on that day. The FY2026 dividend is sized as a share of FY2026 net profit and paid in the month on Assumptions. Interest on any overdrawn balance is charged on the prior month-end balance.</t>
  </si>
  <si>
    <t xml:space="preserve">BANK LOAN</t>
  </si>
  <si>
    <t xml:space="preserve">Principal repaid</t>
  </si>
  <si>
    <t xml:space="preserve">fixed monthly principal, capped at the balance</t>
  </si>
  <si>
    <t xml:space="preserve">Loan interest</t>
  </si>
  <si>
    <t xml:space="preserve">opening x rate / 12</t>
  </si>
  <si>
    <t xml:space="preserve">Overdraft interest</t>
  </si>
  <si>
    <t xml:space="preserve">overdrawn balance at the prior month end x rate / 12</t>
  </si>
  <si>
    <t xml:space="preserve">Current portion (next 12 months)</t>
  </si>
  <si>
    <t xml:space="preserve">Non-current portion</t>
  </si>
  <si>
    <t xml:space="preserve">DIVIDENDS</t>
  </si>
  <si>
    <t xml:space="preserve">Dividends paid (gross)</t>
  </si>
  <si>
    <t xml:space="preserve">A: bank; F: payout x FY2026 net profit in the dividend month</t>
  </si>
  <si>
    <t xml:space="preserve">of which withholding tax paid to the tax office on the day (memo)</t>
  </si>
  <si>
    <t xml:space="preserve">gross x 26.375%</t>
  </si>
  <si>
    <t xml:space="preserve">of which paid to the shareholders (memo)</t>
  </si>
  <si>
    <t xml:space="preserve">FACILITY (memo)</t>
  </si>
  <si>
    <t xml:space="preserve">Overdraft facility</t>
  </si>
  <si>
    <t xml:space="preserve">Facility headroom after any overdrawn balance</t>
  </si>
  <si>
    <t xml:space="preserve">ENGAGEMENT REGISTER: TERMS, BUDGETS, FORECAST HOURS AND OPENING POSITIONS</t>
  </si>
  <si>
    <t xml:space="preserve">One row per engagement (fictional). Blue = input (engagement letter terms, budget hours, win probabilities, FY2025 closing positions). Black = derived. Pipeline and run-rate engagements are weighted by the win probability of the selected scenario; delays and overruns come from the scenario drivers.</t>
  </si>
  <si>
    <t xml:space="preserve">Engagement</t>
  </si>
  <si>
    <t xml:space="preserve">Fee type (FF fixed fee, TM time and materials, CAP capped)</t>
  </si>
  <si>
    <t xml:space="preserve">Status at last actual</t>
  </si>
  <si>
    <t xml:space="preserve">Staffing profile</t>
  </si>
  <si>
    <t xml:space="preserve">Start (month)</t>
  </si>
  <si>
    <t xml:space="preserve">Planned completion (month)</t>
  </si>
  <si>
    <t xml:space="preserve">Fee (FF), cap (CAP) or estimated value (TM), EUR</t>
  </si>
  <si>
    <t xml:space="preserve">Budget hours (FF, CAP) or planned hours (TM)</t>
  </si>
  <si>
    <t xml:space="preserve">Discount to the rate card (TM, CAP input; FF implied)</t>
  </si>
  <si>
    <t xml:space="preserve">Write-down at billing, base (TM)</t>
  </si>
  <si>
    <t xml:space="preserve">Travel cost per hour worked (EUR)</t>
  </si>
  <si>
    <t xml:space="preserve">Travel rebilled at cost (1 = yes)</t>
  </si>
  <si>
    <t xml:space="preserve">Hours to date at 31-Dec-25</t>
  </si>
  <si>
    <t xml:space="preserve">Fee revenue to date at 31-Dec-25</t>
  </si>
  <si>
    <t xml:space="preserve">Fees invoiced to date at 31-Dec-25</t>
  </si>
  <si>
    <t xml:space="preserve">Value at agreed rates to date at 31-Dec-25</t>
  </si>
  <si>
    <t xml:space="preserve">Contract position at 31-Dec-25 (+ unbilled / - billed ahead)</t>
  </si>
  <si>
    <t xml:space="preserve">Mix: partner</t>
  </si>
  <si>
    <t xml:space="preserve">Mix: director</t>
  </si>
  <si>
    <t xml:space="preserve">Mix: manager</t>
  </si>
  <si>
    <t xml:space="preserve">Mix: senior consultant</t>
  </si>
  <si>
    <t xml:space="preserve">Mix: consultant</t>
  </si>
  <si>
    <t xml:space="preserve">Blended rate card FY2026 (EUR per hour)</t>
  </si>
  <si>
    <t xml:space="preserve">Agreed rate per hour FY2026 (TM, CAP) or fee per budget hour (FF)</t>
  </si>
  <si>
    <t xml:space="preserve">Start delay (months, scenario)</t>
  </si>
  <si>
    <t xml:space="preserve">Start month no. (effective)</t>
  </si>
  <si>
    <t xml:space="preserve">Completion month no. (effective)</t>
  </si>
  <si>
    <t xml:space="preserve">Interim milestone month no.</t>
  </si>
  <si>
    <t xml:space="preserve">Hours to date at last actual</t>
  </si>
  <si>
    <t xml:space="preserve">Estimate to complete at last actual (hours, weighted)</t>
  </si>
  <si>
    <t xml:space="preserve">Overrun applied</t>
  </si>
  <si>
    <t xml:space="preserve">Forecast hours at completion</t>
  </si>
  <si>
    <t xml:space="preserve">First forecast month no.</t>
  </si>
  <si>
    <t xml:space="preserve">Available hours per FTE, remaining months</t>
  </si>
  <si>
    <t xml:space="preserve">Fee or cap, probability-weighted</t>
  </si>
  <si>
    <t xml:space="preserve">Value at agreed rates at completion (CAP)</t>
  </si>
  <si>
    <t xml:space="preserve">Write-down YTD actual (TM)</t>
  </si>
  <si>
    <t xml:space="preserve">Write-down forecast (TM)</t>
  </si>
  <si>
    <t xml:space="preserve">Fee revenue to date at last actual</t>
  </si>
  <si>
    <t xml:space="preserve">Fees invoiced to date at last actual</t>
  </si>
  <si>
    <t xml:space="preserve">S/4HANA programme management office</t>
  </si>
  <si>
    <t xml:space="preserve">PMO</t>
  </si>
  <si>
    <t xml:space="preserve">Plant footprint and lean programme, phase 2</t>
  </si>
  <si>
    <t xml:space="preserve">IMP</t>
  </si>
  <si>
    <t xml:space="preserve">Finance function transformation</t>
  </si>
  <si>
    <t xml:space="preserve">Completed</t>
  </si>
  <si>
    <t xml:space="preserve">Procurement cost programme</t>
  </si>
  <si>
    <t xml:space="preserve">DIA</t>
  </si>
  <si>
    <t xml:space="preserve">ERP selection</t>
  </si>
  <si>
    <t xml:space="preserve">Restructuring support: operational measures</t>
  </si>
  <si>
    <t xml:space="preserve">Stopped</t>
  </si>
  <si>
    <t xml:space="preserve">Cost reduction programme</t>
  </si>
  <si>
    <t xml:space="preserve">Carve-out finance readiness</t>
  </si>
  <si>
    <t xml:space="preserve">Warehouse network redesign</t>
  </si>
  <si>
    <t xml:space="preserve">Data and reporting platform</t>
  </si>
  <si>
    <t xml:space="preserve">Working capital programme</t>
  </si>
  <si>
    <t xml:space="preserve">Sales and operations planning implementation</t>
  </si>
  <si>
    <t xml:space="preserve">Procurement excellence diagnostic</t>
  </si>
  <si>
    <t xml:space="preserve">Post-merger integration, first acquisition</t>
  </si>
  <si>
    <t xml:space="preserve">S/4HANA readiness assessment</t>
  </si>
  <si>
    <t xml:space="preserve">Supplier resilience diagnostic</t>
  </si>
  <si>
    <t xml:space="preserve">Production ramp-up programme</t>
  </si>
  <si>
    <t xml:space="preserve">Operations excellence programme, two plants</t>
  </si>
  <si>
    <t xml:space="preserve">Contracted</t>
  </si>
  <si>
    <t xml:space="preserve">Planning and reporting redesign</t>
  </si>
  <si>
    <t xml:space="preserve">ERP selection and business case</t>
  </si>
  <si>
    <t xml:space="preserve">Transport procurement tender</t>
  </si>
  <si>
    <t xml:space="preserve">Finance shared service centre design</t>
  </si>
  <si>
    <t xml:space="preserve">Data migration and reporting for the S/4HANA go-live</t>
  </si>
  <si>
    <t xml:space="preserve">P-01</t>
  </si>
  <si>
    <t xml:space="preserve">S/4HANA rollout wave 2 and hypercare</t>
  </si>
  <si>
    <t xml:space="preserve">P-02</t>
  </si>
  <si>
    <t xml:space="preserve">Footprint programme phase 3</t>
  </si>
  <si>
    <t xml:space="preserve">P-03</t>
  </si>
  <si>
    <t xml:space="preserve">Add-on acquisition: due diligence support and 100-day plan</t>
  </si>
  <si>
    <t xml:space="preserve">P-04</t>
  </si>
  <si>
    <t xml:space="preserve">Procurement excellence rollout, three sites</t>
  </si>
  <si>
    <t xml:space="preserve">P-05</t>
  </si>
  <si>
    <t xml:space="preserve">S/4HANA selection</t>
  </si>
  <si>
    <t xml:space="preserve">P-06</t>
  </si>
  <si>
    <t xml:space="preserve">P-07</t>
  </si>
  <si>
    <t xml:space="preserve">Carve-out execution and exit from transitional services</t>
  </si>
  <si>
    <t xml:space="preserve">P-08</t>
  </si>
  <si>
    <t xml:space="preserve">S&amp;OP extension: network and capacity planning</t>
  </si>
  <si>
    <t xml:space="preserve">P-09</t>
  </si>
  <si>
    <t xml:space="preserve">Procurement and cost programme</t>
  </si>
  <si>
    <t xml:space="preserve">P-10</t>
  </si>
  <si>
    <t xml:space="preserve">Network rollout: two new warehouses</t>
  </si>
  <si>
    <t xml:space="preserve">Month numbers count from the model start (Jan-26 = 1). Fixed fee: revenue = fee x hours to date / estimated hours at completion (IFRS 15.B18 input method); milestones 30% at the start, 40% at the mid-point, 30% on acceptance. Time and materials: hours x agreed rate less write-downs, invoiced monthly in arrears. Capped: time and materials at agreed rates, invoiced monthly in arrears up to the cap; once the value at completion exceeds the cap, revenue = cap x hours to date / hours at completion and the excess is written down.</t>
  </si>
  <si>
    <t xml:space="preserve">Forecast hours spread the remaining hours over the remaining months in proportion to available hours per FTE (holidays and absence), so demand follows capacity. Travel is rebilled at cost on time and materials and capped engagements; fixed fees include travel.</t>
  </si>
  <si>
    <t xml:space="preserve">CLIENT REGISTER</t>
  </si>
  <si>
    <t xml:space="preserve">One row per client (fictional). Blue = input (terms, VAT class, FY2025 closing receivable). Black = derived. Prospects carry no balances.</t>
  </si>
  <si>
    <t xml:space="preserve">Client (fictional)</t>
  </si>
  <si>
    <t xml:space="preserve">Country</t>
  </si>
  <si>
    <t xml:space="preserve">VAT class (DE = German VAT, EU = reverse charge, CH = outside the scope)</t>
  </si>
  <si>
    <t xml:space="preserve">VAT rate on invoices</t>
  </si>
  <si>
    <t xml:space="preserve">Client since</t>
  </si>
  <si>
    <t xml:space="preserve">Days to collect (from invoicing)</t>
  </si>
  <si>
    <t xml:space="preserve">Days to collect incl. scenario slip</t>
  </si>
  <si>
    <t xml:space="preserve">Receivable at 31-Dec-25 (incl. VAT)</t>
  </si>
  <si>
    <t xml:space="preserve">Germany</t>
  </si>
  <si>
    <t xml:space="preserve">DE</t>
  </si>
  <si>
    <t xml:space="preserve">Austria</t>
  </si>
  <si>
    <t xml:space="preserve">EU</t>
  </si>
  <si>
    <t xml:space="preserve">Switzerland</t>
  </si>
  <si>
    <t xml:space="preserve">CH</t>
  </si>
  <si>
    <t xml:space="preserve">German clients are invoiced with 19% VAT. Stelzhof (Austria) is invoiced without German VAT under the reverse charge and reported in the ZM; Sornegg (Switzerland) is outside the scope of German VAT. Pelzhoff filed for insolvency in July 2026.</t>
  </si>
  <si>
    <t xml:space="preserve">SELMBERG CONSULTING GMBH (FICTIONAL DEMONSTRATION COMPANY)</t>
  </si>
  <si>
    <t xml:space="preserve">ASSUMPTIONS, TIMELINE AND SCENARIO DRIVERS</t>
  </si>
  <si>
    <t xml:space="preserve">Every input lives here, on Inputs_Actuals, the two registers, the staff and hiring tables or Budget_FY26. Blue on yellow = input. Black = formula. Green = link to another sheet.</t>
  </si>
  <si>
    <t xml:space="preserve">GENERAL</t>
  </si>
  <si>
    <t xml:space="preserve">Company name</t>
  </si>
  <si>
    <t xml:space="preserve">Selmberg Consulting GmbH (fictional demonstration company)</t>
  </si>
  <si>
    <t xml:space="preserve">All figures fictional. German limited company (GmbH) in Munich, financial year = calendar year, reporting currency EUR; every client is invoiced in EUR.</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</si>
  <si>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</si>
  <si>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</si>
  <si>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</si>
  <si>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</si>
  <si>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</si>
  <si>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</si>
  <si>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</si>
  <si>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</si>
  <si>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</si>
  <si>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input</t>
  </si>
  <si>
    <t xml:space="preserve">Change this cell and every forecast month moves. Base = management case; Downside = worst case; Upside = best case.</t>
  </si>
  <si>
    <t xml:space="preserve">Scenario name</t>
  </si>
  <si>
    <t xml:space="preserve">About one month of payroll, social security and wage tax; used by the 13-week cash forecast and the CFO report</t>
  </si>
  <si>
    <t xml:space="preserve">Undrawn overdraft facility available</t>
  </si>
  <si>
    <t xml:space="preserve">Committed current account overdraft (Kontokorrent), undrawn; first lever if the buffer is breached</t>
  </si>
  <si>
    <t xml:space="preserve">Aged receivables and payables: as-at date</t>
  </si>
  <si>
    <t xml:space="preserve">TAX (GERMANY), VERIFIED AGAINST PRIMARY SOURCES ON 23-SEP-26</t>
  </si>
  <si>
    <t xml:space="preserve">VAT: standard rate</t>
  </si>
  <si>
    <t xml:space="preserve">rate</t>
  </si>
  <si>
    <t xml:space="preserve">BMF: Regelsteuersatz 19% (UStG s12(1)). Charged to German clients only.</t>
  </si>
  <si>
    <t xml:space="preserve">VAT on services to business clients abroad</t>
  </si>
  <si>
    <t xml:space="preserve">Austria (EU): taxed where the client is established, the client accounts for the VAT (reverse charge) and the supply is reported in the recapitulative statement (ZM) by the 25th after the quarter (BZSt). Switzerland: outside the scope of German VAT.</t>
  </si>
  <si>
    <t xml:space="preserve">Permanent one-month filing extension (Dauerfristverlaengerung) in use (1 = yes)</t>
  </si>
  <si>
    <t xml:space="preserve">flag</t>
  </si>
  <si>
    <t xml:space="preserve">UStG s18 and UStDV s46 to s48: each monthly return and payment moves to the 10th of the second month; a special prepayment of 1/11 of the prior-year prepayments is paid by 10-Feb and credited against the December return (service.berlin.de; BMF VAT manual).</t>
  </si>
  <si>
    <t xml:space="preserve">Special prepayment paid 10-Feb-25 (credited against the Dec-25 return, paid 10-Feb-26)</t>
  </si>
  <si>
    <t xml:space="preserve">1/11 of the FY2024 prepayments (fictional ledger)</t>
  </si>
  <si>
    <t xml:space="preserve">Special prepayment paid 10-Feb-26 (credited against the Dec-26 return)</t>
  </si>
  <si>
    <t xml:space="preserve">1/11 of the FY2025 prepayments (fictional ledger). The Feb-27 payment is calculated from the FY2026 returns.</t>
  </si>
  <si>
    <t xml:space="preserve">Subcontractors: share invoicing with German VAT</t>
  </si>
  <si>
    <t xml:space="preserve">share</t>
  </si>
  <si>
    <t xml:space="preserve">The rest are small businesses that charge no VAT (UStG s19)</t>
  </si>
  <si>
    <t xml:space="preserve">Travel: recoverable input VAT as a share of net travel cost</t>
  </si>
  <si>
    <t xml:space="preserve">Company average: hotels and long-distance rail at 7%, flights and car costs at 19%, foreign costs without German VAT</t>
  </si>
  <si>
    <t xml:space="preserve">IT and software: share bought from foreign vendors (reverse charge, UStG s13b)</t>
  </si>
  <si>
    <t xml:space="preserve">Self-assessed output and input VAT net to zero</t>
  </si>
  <si>
    <t xml:space="preserve">Corporate income tax rate</t>
  </si>
  <si>
    <t xml:space="preserve">KStG s23(1): 15% to FY2027; cut by one point a year from 2028 to 10% in 2032 (BMF monthly report Aug-25, investment programme law)</t>
  </si>
  <si>
    <t xml:space="preserve">Solidarity surcharge on corporate income tax</t>
  </si>
  <si>
    <t xml:space="preserve">BMF: 5.5% since 1998; upheld by the Federal Constitutional Court on 26-Mar-25 (2 BvR 1505/20)</t>
  </si>
  <si>
    <t xml:space="preserve">Trade tax: base rate (Steuermesszahl)</t>
  </si>
  <si>
    <t xml:space="preserve">GewStG s11(2). No allowance for a GmbH.</t>
  </si>
  <si>
    <t xml:space="preserve">Trade tax: municipal multiplier (Hebesatz), Landeshauptstadt Muenchen</t>
  </si>
  <si>
    <t xml:space="preserve">multiplier</t>
  </si>
  <si>
    <t xml:space="preserve">City of Munich: 490%</t>
  </si>
  <si>
    <t xml:space="preserve">Corporate income tax incl. solidarity surcharge</t>
  </si>
  <si>
    <t xml:space="preserve">15% x 1.055</t>
  </si>
  <si>
    <t xml:space="preserve">Trade tax rate on taxable trade income</t>
  </si>
  <si>
    <t xml:space="preserve">3.5% x 490%</t>
  </si>
  <si>
    <t xml:space="preserve">Trade tax add-back: allowance on financing components</t>
  </si>
  <si>
    <t xml:space="preserve">EUR a year</t>
  </si>
  <si>
    <t xml:space="preserve">GewStG s8 no. 1: a quarter of interest, 50% of property rent and 20% of movable leases above EUR 200,000 is added back</t>
  </si>
  <si>
    <t xml:space="preserve">Client entertainment: share not deductible for income tax</t>
  </si>
  <si>
    <t xml:space="preserve">EStG s4(5) no. 2: 70% deductible; input VAT recoverable in full</t>
  </si>
  <si>
    <t xml:space="preserve">Withholding tax on dividends (25% plus 5.5% solidarity surcharge)</t>
  </si>
  <si>
    <t xml:space="preserve">EStG s43a; for GmbH distributions filed and paid on the day of payment (ELSTER guidance on the KapESt return 2026)</t>
  </si>
  <si>
    <t xml:space="preserve">FY2025 corporate income tax and solidarity surcharge assessed</t>
  </si>
  <si>
    <t xml:space="preserve">Notice received Jul-26 (fictional); resets the quarterly prepayments to a quarter of this amount</t>
  </si>
  <si>
    <t xml:space="preserve">FY2025 trade tax assessed</t>
  </si>
  <si>
    <t xml:space="preserve">Notice received Jul-26 (fictional)</t>
  </si>
  <si>
    <t xml:space="preserve">Corporate income tax prepayment per quarter until the FY2025 notice</t>
  </si>
  <si>
    <t xml:space="preserve">Due 10-Mar, 10-Jun, 10-Sep, 10-Dec (EStG s37 via KStG s31)</t>
  </si>
  <si>
    <t xml:space="preserve">Trade tax prepayment per quarter until the FY2025 notice</t>
  </si>
  <si>
    <t xml:space="preserve">Due 15-Feb, 15-May, 15-Aug, 15-Nov (GewStG s19)</t>
  </si>
  <si>
    <t xml:space="preserve">Month the FY2025 notices were received</t>
  </si>
  <si>
    <t xml:space="preserve">Later prepayments are a quarter of the FY2025 assessment until changed</t>
  </si>
  <si>
    <t xml:space="preserve">FY2027 prepayments aligned to the FY2026 outlook (1 = application filed in Q4-26; 0 = per the FY2025 notice)</t>
  </si>
  <si>
    <t xml:space="preserve">Taxpayers may apply to adjust prepayments to the expected tax (GewStG s19(3); EStG s37(3))</t>
  </si>
  <si>
    <t xml:space="preserve">SOCIAL SECURITY AND PAYROLL (BMAS 2026; 2027 ceilings per the draft ordinance of 21-Sep-26)</t>
  </si>
  <si>
    <t xml:space="preserve">Contribution ceiling, pension and unemployment insurance, 2026 (per month)</t>
  </si>
  <si>
    <t xml:space="preserve">BMAS: EUR 101,400 a year</t>
  </si>
  <si>
    <t xml:space="preserve">Contribution ceiling, health and long-term care insurance, 2026 (per month)</t>
  </si>
  <si>
    <t xml:space="preserve">BMAS: EUR 69,750 a year</t>
  </si>
  <si>
    <t xml:space="preserve">Contribution ceiling, pension and unemployment insurance, 2027 (per month)</t>
  </si>
  <si>
    <t xml:space="preserve">BMAS draft of 21-Sep-26: EUR 106,200 a year (Assumption until enacted)</t>
  </si>
  <si>
    <t xml:space="preserve">Contribution ceiling, health and long-term care insurance, 2027 (per month)</t>
  </si>
  <si>
    <t xml:space="preserve">BMAS draft of 21-Sep-26: EUR 76,500 a year (Assumption until enacted)</t>
  </si>
  <si>
    <t xml:space="preserve">Pension insurance, each side</t>
  </si>
  <si>
    <t xml:space="preserve">18.6% in total for 2026 (BMAS); 2027 assumed unchanged (German Pension Insurance estimate, Aug-26; the 2027 rate is set in the autumn)</t>
  </si>
  <si>
    <t xml:space="preserve">Unemployment insurance, each side</t>
  </si>
  <si>
    <t xml:space="preserve">2.6% in total (BMAS)</t>
  </si>
  <si>
    <t xml:space="preserve">Health insurance general rate, each side</t>
  </si>
  <si>
    <t xml:space="preserve">14.6% in total</t>
  </si>
  <si>
    <t xml:space="preserve">Health insurance additional contribution, average (split equally)</t>
  </si>
  <si>
    <t xml:space="preserve">Federal Ministry of Health: 2.9% average for 2026; 2027 assumed unchanged</t>
  </si>
  <si>
    <t xml:space="preserve">Long-term care insurance, each side</t>
  </si>
  <si>
    <t xml:space="preserve">3.6% in total; employer 1.8% (Federal Ministry of Health)</t>
  </si>
  <si>
    <t xml:space="preserve">Long-term care surcharge for childless employees (employee only)</t>
  </si>
  <si>
    <t xml:space="preserve">Federal Ministry of Health: 0.6%</t>
  </si>
  <si>
    <t xml:space="preserve">Share of staff paying the childless surcharge</t>
  </si>
  <si>
    <t xml:space="preserve">Payroll estimate (fictional)</t>
  </si>
  <si>
    <t xml:space="preserve">Maternity levy U2 (employer)</t>
  </si>
  <si>
    <t xml:space="preserve">Every employer pays U2; the rate is set by each health insurer (0.42% is one insurer published 2026 rate); U1 does not apply above 30 employees (AAG s1)</t>
  </si>
  <si>
    <t xml:space="preserve">Insolvency benefit levy U3 (employer)</t>
  </si>
  <si>
    <t xml:space="preserve">0.15% (SGB III s360; unchanged for 2026)</t>
  </si>
  <si>
    <t xml:space="preserve">Employer rate on earnings up to the pension ceiling (pension, unemployment, U2, U3)</t>
  </si>
  <si>
    <t xml:space="preserve">Employer rate on earnings up to the health ceiling (health incl. half the additional rate, care)</t>
  </si>
  <si>
    <t xml:space="preserve">Employee rate on earnings up to the pension ceiling</t>
  </si>
  <si>
    <t xml:space="preserve">Employee rate on earnings up to the health ceiling (incl. the average childless surcharge)</t>
  </si>
  <si>
    <t xml:space="preserve">Payment dates</t>
  </si>
  <si>
    <t xml:space="preserve">Social security for the month is due on the third-last banking day of the same month (SGB IV s23); wage tax withheld is paid by the 10th of the following month (EStG s41a). The founder holds more than 50% of the shares and is not socially insured (German Pension Insurance: shareholder-managing directors).</t>
  </si>
  <si>
    <t xml:space="preserve">GRADES: RATE CARD, PAY, UTILISATION, SUBCONTRACTORS (FY2026)</t>
  </si>
  <si>
    <t xml:space="preserve">Grade</t>
  </si>
  <si>
    <t xml:space="preserve">Rate card (EUR/hour)</t>
  </si>
  <si>
    <t xml:space="preserve">Fixed salary (EUR a year)</t>
  </si>
  <si>
    <t xml:space="preserve">Bonus target (share of fixed pay)</t>
  </si>
  <si>
    <t xml:space="preserve">Target utilisation</t>
  </si>
  <si>
    <t xml:space="preserve">Subcontractor cost (EUR/hour)</t>
  </si>
  <si>
    <t xml:space="preserve">Note</t>
  </si>
  <si>
    <t xml:space="preserve">Partner</t>
  </si>
  <si>
    <t xml:space="preserve">P</t>
  </si>
  <si>
    <t xml:space="preserve">Director</t>
  </si>
  <si>
    <t xml:space="preserve">D</t>
  </si>
  <si>
    <t xml:space="preserve">Manager</t>
  </si>
  <si>
    <t xml:space="preserve">M</t>
  </si>
  <si>
    <t xml:space="preserve">Senior consultant</t>
  </si>
  <si>
    <t xml:space="preserve">S</t>
  </si>
  <si>
    <t xml:space="preserve">Consultant</t>
  </si>
  <si>
    <t xml:space="preserve">C</t>
  </si>
  <si>
    <t xml:space="preserve">Salaries are the average per head of each grade. Every consultant earns below the 2026 health ceiling, every senior consultant between the two ceilings and every manager and above above both, so contributions per head are exact.</t>
  </si>
  <si>
    <t xml:space="preserve">Average wage tax, solidarity surcharge and church tax withheld: partner</t>
  </si>
  <si>
    <t xml:space="preserve">Payroll analysis (fictional)</t>
  </si>
  <si>
    <t xml:space="preserve">Average wage tax, solidarity surcharge and church tax withheld: director</t>
  </si>
  <si>
    <t xml:space="preserve">Average wage tax, solidarity surcharge and church tax withheld: manager</t>
  </si>
  <si>
    <t xml:space="preserve">Average wage tax, solidarity surcharge and church tax withheld: senior consultant</t>
  </si>
  <si>
    <t xml:space="preserve">Average wage tax, solidarity surcharge and church tax withheld: consultant</t>
  </si>
  <si>
    <t xml:space="preserve">Average wage tax withheld: central staff</t>
  </si>
  <si>
    <t xml:space="preserve">Average wage tax withheld: founder</t>
  </si>
  <si>
    <t xml:space="preserve">Average wage tax withheld on bonus payments</t>
  </si>
  <si>
    <t xml:space="preserve">Bonuses are paid mostly to partners and directors</t>
  </si>
  <si>
    <t xml:space="preserve">Employer contributions on the bonus: partner</t>
  </si>
  <si>
    <t xml:space="preserve">Managers and above are above both ceilings; senior consultants above the health ceiling</t>
  </si>
  <si>
    <t xml:space="preserve">Employer contributions on the bonus: director</t>
  </si>
  <si>
    <t xml:space="preserve">Employer contributions on the bonus: manager</t>
  </si>
  <si>
    <t xml:space="preserve">Employer contributions on the bonus: senior consultant</t>
  </si>
  <si>
    <t xml:space="preserve">Employer contributions on the bonus: consultant</t>
  </si>
  <si>
    <t xml:space="preserve">Maximum sustainable utilisation (demand above it goes to subcontractors)</t>
  </si>
  <si>
    <t xml:space="preserve">Founder: share of a full-time fee earner available for client work (operations partner pool)</t>
  </si>
  <si>
    <t xml:space="preserve">The founder runs the firm and leads new business; payroll sits in central costs</t>
  </si>
  <si>
    <t xml:space="preserve">Average available hours per FTE per month, FY2026</t>
  </si>
  <si>
    <t xml:space="preserve">Standard cost rate FY2026: partner (EUR per chargeable hour)</t>
  </si>
  <si>
    <t xml:space="preserve">(salary + employer contributions + bonus at target) / (available hours x target utilisation)</t>
  </si>
  <si>
    <t xml:space="preserve">Standard cost rate FY2026: director (EUR per chargeable hour)</t>
  </si>
  <si>
    <t xml:space="preserve">Standard cost rate FY2026: manager (EUR per chargeable hour)</t>
  </si>
  <si>
    <t xml:space="preserve">Standard cost rate FY2026: senior consultant (EUR per chargeable hour)</t>
  </si>
  <si>
    <t xml:space="preserve">Standard cost rate FY2026: consultant (EUR per chargeable hour)</t>
  </si>
  <si>
    <t xml:space="preserve">Central staff bonus target (share of fixed pay; not the founder)</t>
  </si>
  <si>
    <t xml:space="preserve">Bonus accrual factor used in the actual months (share of target)</t>
  </si>
  <si>
    <t xml:space="preserve">FY2026 performance below budget: accrued at 70% of target</t>
  </si>
  <si>
    <t xml:space="preserve">Employer contributions share of the bonus provision (payment split)</t>
  </si>
  <si>
    <t xml:space="preserve">Recruitment agency fee, share of the first-year salary (experienced hires)</t>
  </si>
  <si>
    <t xml:space="preserve">Campus recruiting cost per graduate hire</t>
  </si>
  <si>
    <t xml:space="preserve">Attrition a year, base: partner</t>
  </si>
  <si>
    <t xml:space="preserve">Attrition a year, base: director</t>
  </si>
  <si>
    <t xml:space="preserve">Attrition a year, base: manager</t>
  </si>
  <si>
    <t xml:space="preserve">Consulting market norm for the grade (company assumption)</t>
  </si>
  <si>
    <t xml:space="preserve">Attrition a year, base: senior consultant</t>
  </si>
  <si>
    <t xml:space="preserve">Attrition a year, base: consultant</t>
  </si>
  <si>
    <t xml:space="preserve">Average years of service of consultants and senior consultants (separations)</t>
  </si>
  <si>
    <t xml:space="preserve">years</t>
  </si>
  <si>
    <t xml:space="preserve">HR records (fictional)</t>
  </si>
  <si>
    <t xml:space="preserve">Severance per year of service (monthly salaries)</t>
  </si>
  <si>
    <t xml:space="preserve">months</t>
  </si>
  <si>
    <t xml:space="preserve">KSchG s1a(2) benchmark of 0.5 monthly earnings per year of service, used in separation agreements</t>
  </si>
  <si>
    <t xml:space="preserve">Equipment per new hire</t>
  </si>
  <si>
    <t xml:space="preserve">IT replacement cycle, capex per month</t>
  </si>
  <si>
    <t xml:space="preserve">Depreciation: IT equipment, useful life</t>
  </si>
  <si>
    <t xml:space="preserve">Depreciation: office fit-out and furniture, useful life</t>
  </si>
  <si>
    <t xml:space="preserve">Lease term of the Munich office</t>
  </si>
  <si>
    <t xml:space="preserve">Overhead and subcontractor rate inflation applied from FY2027</t>
  </si>
  <si>
    <t xml:space="preserve">STAFFING PROFILES: SHARE OF HOURS BY GRADE (each row sums to 100%)</t>
  </si>
  <si>
    <t xml:space="preserve">Profile</t>
  </si>
  <si>
    <t xml:space="preserve">Diagnostic and strategy</t>
  </si>
  <si>
    <t xml:space="preserve">Implementation and transformation</t>
  </si>
  <si>
    <t xml:space="preserve">Programme management</t>
  </si>
  <si>
    <t xml:space="preserve">Timesheet analysis FY2025 (fictional). Each engagement takes the mix of its profile; demand by grade = engagement hours x mix.</t>
  </si>
  <si>
    <t xml:space="preserve">PUBLIC HOLIDAYS, MUNICH (Bavaria), 2026 AND 2027 (muenchen.de)</t>
  </si>
  <si>
    <t xml:space="preserve">New Year 2026</t>
  </si>
  <si>
    <t xml:space="preserve">Epiphany 2026</t>
  </si>
  <si>
    <t xml:space="preserve">Good Friday 2026</t>
  </si>
  <si>
    <t xml:space="preserve">Easter Monday 2026</t>
  </si>
  <si>
    <t xml:space="preserve">Labour Day 2026</t>
  </si>
  <si>
    <t xml:space="preserve">Ascension Day 2026</t>
  </si>
  <si>
    <t xml:space="preserve">Whit Monday 2026</t>
  </si>
  <si>
    <t xml:space="preserve">Corpus Christi 2026</t>
  </si>
  <si>
    <t xml:space="preserve">Assumption Day 2026</t>
  </si>
  <si>
    <t xml:space="preserve">German Unity Day 2026</t>
  </si>
  <si>
    <t xml:space="preserve">All Saints Day 2026</t>
  </si>
  <si>
    <t xml:space="preserve">Christmas Day 2026</t>
  </si>
  <si>
    <t xml:space="preserve">Second Day of Christmas 2026</t>
  </si>
  <si>
    <t xml:space="preserve">New Year 2027</t>
  </si>
  <si>
    <t xml:space="preserve">Epiphany 2027</t>
  </si>
  <si>
    <t xml:space="preserve">Good Friday 2027</t>
  </si>
  <si>
    <t xml:space="preserve">Easter Monday 2027</t>
  </si>
  <si>
    <t xml:space="preserve">Labour Day 2027</t>
  </si>
  <si>
    <t xml:space="preserve">Ascension Day 2027</t>
  </si>
  <si>
    <t xml:space="preserve">Whit Monday 2027</t>
  </si>
  <si>
    <t xml:space="preserve">Corpus Christi 2027</t>
  </si>
  <si>
    <t xml:space="preserve">Assumption Day 2027</t>
  </si>
  <si>
    <t xml:space="preserve">German Unity Day 2027</t>
  </si>
  <si>
    <t xml:space="preserve">All Saints Day 2027</t>
  </si>
  <si>
    <t xml:space="preserve">Christmas Day 2027</t>
  </si>
  <si>
    <t xml:space="preserve">Second Day of Christmas 2027</t>
  </si>
  <si>
    <t xml:space="preserve">Weekend holidays reduce no working days; working days per month = NETWORKDAYS against this list.</t>
  </si>
  <si>
    <t xml:space="preserve">REVENUE, BILLING, WORKING CAPITAL AND FINANCING</t>
  </si>
  <si>
    <t xml:space="preserve">Fixed fee: share invoiced at the start</t>
  </si>
  <si>
    <t xml:space="preserve">Standard engagement letter</t>
  </si>
  <si>
    <t xml:space="preserve">Fixed fee: share invoiced at the interim milestone (mid-point)</t>
  </si>
  <si>
    <t xml:space="preserve">Fixed fee: share invoiced on acceptance of the final deliverable</t>
  </si>
  <si>
    <t xml:space="preserve">Subcontractors: days payable</t>
  </si>
  <si>
    <t xml:space="preserve">days</t>
  </si>
  <si>
    <t xml:space="preserve">Travel card statements and expense claims: days payable</t>
  </si>
  <si>
    <t xml:space="preserve">Overhead suppliers: days payable (rent is paid in advance on the first working day)</t>
  </si>
  <si>
    <t xml:space="preserve">New work not yet identified: first month it can start</t>
  </si>
  <si>
    <t xml:space="preserve">Sales cycle of two to three months from the last actual month</t>
  </si>
  <si>
    <t xml:space="preserve">New work: discount to the rate card</t>
  </si>
  <si>
    <t xml:space="preserve">FY2026 average on engagements won (engagement register)</t>
  </si>
  <si>
    <t xml:space="preserve">New work: write-down at billing</t>
  </si>
  <si>
    <t xml:space="preserve">New work: travel cost per hour (rebilled at cost)</t>
  </si>
  <si>
    <t xml:space="preserve">EUR/hour</t>
  </si>
  <si>
    <t xml:space="preserve">Expected credit loss rate on receivables, actual months (IFRS 9 simplified approach)</t>
  </si>
  <si>
    <t xml:space="preserve">Excludes the Pelzhoff claim, provided specifically</t>
  </si>
  <si>
    <t xml:space="preserve">Pelzhoff: expected distribution to unsecured creditors</t>
  </si>
  <si>
    <t xml:space="preserve">Insolvency application 20-Jul-26; claim filed with the administrator; no distribution expected before 2028</t>
  </si>
  <si>
    <t xml:space="preserve">Pelzhoff: month of the insolvency application</t>
  </si>
  <si>
    <t xml:space="preserve">Bank loan (2024 office fit-out): annual interest rate</t>
  </si>
  <si>
    <t xml:space="preserve">Bank loan: monthly principal</t>
  </si>
  <si>
    <t xml:space="preserve">Straight line to Aug-29</t>
  </si>
  <si>
    <t xml:space="preserve">Overdraft interest rate on any drawn balance</t>
  </si>
  <si>
    <t xml:space="preserve">Facility letter (fictional): 3-month Euribor plus margin</t>
  </si>
  <si>
    <t xml:space="preserve">Dividend on FY2026 profit: month paid</t>
  </si>
  <si>
    <t xml:space="preserve">After the shareholders approve the FY2026 accounts</t>
  </si>
  <si>
    <t xml:space="preserve">SCENARIO DRIVERS  (C = Base, D = Downside, E = Upside, F = selected, G = YTD actual reference)</t>
  </si>
  <si>
    <t xml:space="preserve">Driver</t>
  </si>
  <si>
    <t xml:space="preserve">Selected</t>
  </si>
  <si>
    <t xml:space="preserve">Pipeline win probability factor (applied to the register probabilities)</t>
  </si>
  <si>
    <t xml:space="preserve">x</t>
  </si>
  <si>
    <t xml:space="preserve">Scenario probabilities sit in the register columns; this factor stays at 1</t>
  </si>
  <si>
    <t xml:space="preserve">Start delay: contracted and pipeline engagements</t>
  </si>
  <si>
    <t xml:space="preserve">New work not yet identified: share of the gap to target utilisation that is sold</t>
  </si>
  <si>
    <t xml:space="preserve">Applied grade by grade from the start month on Assumptions; the sales requirement shows on Capacity and Pipeline</t>
  </si>
  <si>
    <t xml:space="preserve">Overrun on remaining hours of fixed-fee and capped engagements</t>
  </si>
  <si>
    <t xml:space="preserve">Applied to the estimate to complete at the last actual month; YTD overruns ran at 3% to 20%</t>
  </si>
  <si>
    <t xml:space="preserve">Time and materials write-down: change vs YTD</t>
  </si>
  <si>
    <t xml:space="preserve">Rate card change from Jan-27 (also re-prices running T&amp;M and capped work)</t>
  </si>
  <si>
    <t xml:space="preserve">Pay increase from Jan-27</t>
  </si>
  <si>
    <t xml:space="preserve">Company assumption; information needed: the approved pay review</t>
  </si>
  <si>
    <t xml:space="preserve">Attrition factor (x base rates by grade)</t>
  </si>
  <si>
    <t xml:space="preserve">Fewer people leave in a weak market</t>
  </si>
  <si>
    <t xml:space="preserve">Leavers replaced after the lag (1 = yes, 0 = hiring freeze)</t>
  </si>
  <si>
    <t xml:space="preserve">Experienced hires in the plan (1 = as planned, 0 = freeze)</t>
  </si>
  <si>
    <t xml:space="preserve">Graduate intake Sep-27 (1 = yes)</t>
  </si>
  <si>
    <t xml:space="preserve">Separations of consultants and senior consultants (FTE, management response)</t>
  </si>
  <si>
    <t xml:space="preserve">FTE</t>
  </si>
  <si>
    <t xml:space="preserve">Downside response: separation agreements with severance; leavers off payroll from the month below</t>
  </si>
  <si>
    <t xml:space="preserve">Separations: first month without the leavers</t>
  </si>
  <si>
    <t xml:space="preserve">Bonus accrual, forecast months (share of target)</t>
  </si>
  <si>
    <t xml:space="preserve">Clients: extra days to collect</t>
  </si>
  <si>
    <t xml:space="preserve">Expected credit loss rate on receivables, forecast</t>
  </si>
  <si>
    <t xml:space="preserve">Discretionary overheads factor (marketing, training, entertainment)</t>
  </si>
  <si>
    <t xml:space="preserve">Dividend on FY2026 profit (share of net profit, paid Jun-27)</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</si>
  <si>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</si>
  <si>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</si>
  <si>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</si>
  <si>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</si>
  <si>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</si>
  <si>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</si>
  <si>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Pay and overhead inflation factor</t>
  </si>
  <si>
    <t xml:space="preserve">Rate card factor (1 in FY2026; 1 + rate card change from Jan-27)</t>
  </si>
  <si>
    <t xml:space="preserve">Overhead and subcontractor inflation factor</t>
  </si>
  <si>
    <t xml:space="preserve">Working days (NETWORKDAYS against the Munich holiday list)</t>
  </si>
  <si>
    <t xml:space="preserve">Holiday days taken per FTE (30-day entitlement, monthly profile)</t>
  </si>
  <si>
    <t xml:space="preserve">Sickness days per FTE (monthly profile, 7 a year)</t>
  </si>
  <si>
    <t xml:space="preserve">Training days per FTE (monthly profile, 5 a year)</t>
  </si>
  <si>
    <t xml:space="preserve">Available hours per FTE ((working days - holiday - sickness - training) x 8)</t>
  </si>
  <si>
    <t xml:space="preserve">Pension ceiling per month (by year)</t>
  </si>
  <si>
    <t xml:space="preserve">Health ceiling per month (by year)</t>
  </si>
  <si>
    <t xml:space="preserve">Prior-year bonus paid with the March payroll (1/0)</t>
  </si>
  <si>
    <t xml:space="preserve">Corporate income tax prepayment month (10-Mar, Jun, Sep, Dec)</t>
  </si>
  <si>
    <t xml:space="preserve">Trade tax prepayment month (15-Feb, May, Aug, Nov)</t>
  </si>
  <si>
    <t xml:space="preserve">INPUTS: ACTUAL MONTHS (FICTIONAL LEDGER, TIMESHEETS, PAYROLL, CRM AND BANK)</t>
  </si>
  <si>
    <t xml:space="preserve">Jan-26 to Aug-26 are fictional actuals entered as inputs. Forecast months are blank by design and are driven from Assumptions and the registers.</t>
  </si>
  <si>
    <t xml:space="preserve">ENGAGEMENTS: timesheet hours, estimate to complete, revenue, fee invoices, travel and expenses invoiced</t>
  </si>
  <si>
    <t xml:space="preserve">E-2501: hours worked</t>
  </si>
  <si>
    <t xml:space="preserve">timesheets</t>
  </si>
  <si>
    <t xml:space="preserve">E-2501: estimate to complete at month end (hours)</t>
  </si>
  <si>
    <t xml:space="preserve">engagement manager estimate</t>
  </si>
  <si>
    <t xml:space="preserve">E-2501: fee revenue recognised</t>
  </si>
  <si>
    <t xml:space="preserve">ledger</t>
  </si>
  <si>
    <t xml:space="preserve">E-2501: fees invoiced</t>
  </si>
  <si>
    <t xml:space="preserve">sales ledger</t>
  </si>
  <si>
    <t xml:space="preserve">E-2501: travel and expenses (net of recoverable VAT)</t>
  </si>
  <si>
    <t xml:space="preserve">expense claims and card statements coded to the engagement</t>
  </si>
  <si>
    <t xml:space="preserve">E-2501: travel and expenses invoiced at cost</t>
  </si>
  <si>
    <t xml:space="preserve">E-2502: hours worked</t>
  </si>
  <si>
    <t xml:space="preserve">E-2502: estimate to complete at month end (hours)</t>
  </si>
  <si>
    <t xml:space="preserve">E-2502: fee revenue recognised</t>
  </si>
  <si>
    <t xml:space="preserve">E-2502: fees invoiced</t>
  </si>
  <si>
    <t xml:space="preserve">E-2502: travel and expenses (net of recoverable VAT)</t>
  </si>
  <si>
    <t xml:space="preserve">E-2502: travel and expenses invoiced at cost</t>
  </si>
  <si>
    <t xml:space="preserve">E-2503: hours worked</t>
  </si>
  <si>
    <t xml:space="preserve">E-2503: estimate to complete at month end (hours)</t>
  </si>
  <si>
    <t xml:space="preserve">E-2503: fee revenue recognised</t>
  </si>
  <si>
    <t xml:space="preserve">E-2503: fees invoiced</t>
  </si>
  <si>
    <t xml:space="preserve">E-2503: travel and expenses (net of recoverable VAT)</t>
  </si>
  <si>
    <t xml:space="preserve">E-2503: travel and expenses invoiced at cost</t>
  </si>
  <si>
    <t xml:space="preserve">E-2504: hours worked</t>
  </si>
  <si>
    <t xml:space="preserve">E-2504: estimate to complete at month end (hours)</t>
  </si>
  <si>
    <t xml:space="preserve">E-2504: fee revenue recognised</t>
  </si>
  <si>
    <t xml:space="preserve">E-2504: fees invoiced</t>
  </si>
  <si>
    <t xml:space="preserve">E-2504: travel and expenses (net of recoverable VAT)</t>
  </si>
  <si>
    <t xml:space="preserve">E-2505: hours worked</t>
  </si>
  <si>
    <t xml:space="preserve">E-2505: estimate to complete at month end (hours)</t>
  </si>
  <si>
    <t xml:space="preserve">E-2505: fee revenue recognised</t>
  </si>
  <si>
    <t xml:space="preserve">E-2505: fees invoiced</t>
  </si>
  <si>
    <t xml:space="preserve">E-2505: travel and expenses (net of recoverable VAT)</t>
  </si>
  <si>
    <t xml:space="preserve">E-2506: hours worked</t>
  </si>
  <si>
    <t xml:space="preserve">E-2506: estimate to complete at month end (hours)</t>
  </si>
  <si>
    <t xml:space="preserve">E-2506: fee revenue recognised</t>
  </si>
  <si>
    <t xml:space="preserve">E-2506: fees invoiced</t>
  </si>
  <si>
    <t xml:space="preserve">E-2506: travel and expenses (net of recoverable VAT)</t>
  </si>
  <si>
    <t xml:space="preserve">E-2506: travel and expenses invoiced at cost</t>
  </si>
  <si>
    <t xml:space="preserve">E-2601: hours worked</t>
  </si>
  <si>
    <t xml:space="preserve">E-2601: estimate to complete at month end (hours)</t>
  </si>
  <si>
    <t xml:space="preserve">E-2601: fee revenue recognised</t>
  </si>
  <si>
    <t xml:space="preserve">E-2601: fees invoiced</t>
  </si>
  <si>
    <t xml:space="preserve">E-2601: travel and expenses (net of recoverable VAT)</t>
  </si>
  <si>
    <t xml:space="preserve">E-2602: hours worked</t>
  </si>
  <si>
    <t xml:space="preserve">E-2602: estimate to complete at month end (hours)</t>
  </si>
  <si>
    <t xml:space="preserve">E-2602: fee revenue recognised</t>
  </si>
  <si>
    <t xml:space="preserve">E-2602: fees invoiced</t>
  </si>
  <si>
    <t xml:space="preserve">E-2602: travel and expenses (net of recoverable VAT)</t>
  </si>
  <si>
    <t xml:space="preserve">E-2602: travel and expenses invoiced at cost</t>
  </si>
  <si>
    <t xml:space="preserve">E-2603: hours worked</t>
  </si>
  <si>
    <t xml:space="preserve">E-2603: estimate to complete at month end (hours)</t>
  </si>
  <si>
    <t xml:space="preserve">E-2603: fee revenue recognised</t>
  </si>
  <si>
    <t xml:space="preserve">E-2603: fees invoiced</t>
  </si>
  <si>
    <t xml:space="preserve">E-2603: travel and expenses (net of recoverable VAT)</t>
  </si>
  <si>
    <t xml:space="preserve">E-2604: hours worked</t>
  </si>
  <si>
    <t xml:space="preserve">E-2604: estimate to complete at month end (hours)</t>
  </si>
  <si>
    <t xml:space="preserve">E-2604: fee revenue recognised</t>
  </si>
  <si>
    <t xml:space="preserve">E-2604: fees invoiced</t>
  </si>
  <si>
    <t xml:space="preserve">E-2604: travel and expenses (net of recoverable VAT)</t>
  </si>
  <si>
    <t xml:space="preserve">E-2604: travel and expenses invoiced at cost</t>
  </si>
  <si>
    <t xml:space="preserve">E-2605: hours worked</t>
  </si>
  <si>
    <t xml:space="preserve">E-2605: estimate to complete at month end (hours)</t>
  </si>
  <si>
    <t xml:space="preserve">E-2605: fee revenue recognised</t>
  </si>
  <si>
    <t xml:space="preserve">E-2605: fees invoiced</t>
  </si>
  <si>
    <t xml:space="preserve">E-2605: travel and expenses (net of recoverable VAT)</t>
  </si>
  <si>
    <t xml:space="preserve">E-2606: hours worked</t>
  </si>
  <si>
    <t xml:space="preserve">E-2606: estimate to complete at month end (hours)</t>
  </si>
  <si>
    <t xml:space="preserve">E-2606: fee revenue recognised</t>
  </si>
  <si>
    <t xml:space="preserve">E-2606: fees invoiced</t>
  </si>
  <si>
    <t xml:space="preserve">E-2606: travel and expenses (net of recoverable VAT)</t>
  </si>
  <si>
    <t xml:space="preserve">E-2606: travel and expenses invoiced at cost</t>
  </si>
  <si>
    <t xml:space="preserve">E-2607: hours worked</t>
  </si>
  <si>
    <t xml:space="preserve">E-2607: estimate to complete at month end (hours)</t>
  </si>
  <si>
    <t xml:space="preserve">E-2607: fee revenue recognised</t>
  </si>
  <si>
    <t xml:space="preserve">E-2607: fees invoiced</t>
  </si>
  <si>
    <t xml:space="preserve">E-2607: travel and expenses (net of recoverable VAT)</t>
  </si>
  <si>
    <t xml:space="preserve">E-2608: hours worked</t>
  </si>
  <si>
    <t xml:space="preserve">E-2608: estimate to complete at month end (hours)</t>
  </si>
  <si>
    <t xml:space="preserve">E-2608: fee revenue recognised</t>
  </si>
  <si>
    <t xml:space="preserve">E-2608: fees invoiced</t>
  </si>
  <si>
    <t xml:space="preserve">E-2608: travel and expenses (net of recoverable VAT)</t>
  </si>
  <si>
    <t xml:space="preserve">E-2608: travel and expenses invoiced at cost</t>
  </si>
  <si>
    <t xml:space="preserve">E-2609: hours worked</t>
  </si>
  <si>
    <t xml:space="preserve">E-2609: estimate to complete at month end (hours)</t>
  </si>
  <si>
    <t xml:space="preserve">E-2609: fee revenue recognised</t>
  </si>
  <si>
    <t xml:space="preserve">E-2609: fees invoiced</t>
  </si>
  <si>
    <t xml:space="preserve">E-2609: travel and expenses (net of recoverable VAT)</t>
  </si>
  <si>
    <t xml:space="preserve">E-2610: hours worked</t>
  </si>
  <si>
    <t xml:space="preserve">E-2610: estimate to complete at month end (hours)</t>
  </si>
  <si>
    <t xml:space="preserve">E-2610: fee revenue recognised</t>
  </si>
  <si>
    <t xml:space="preserve">E-2610: fees invoiced</t>
  </si>
  <si>
    <t xml:space="preserve">E-2610: travel and expenses (net of recoverable VAT)</t>
  </si>
  <si>
    <t xml:space="preserve">E-2611: hours worked</t>
  </si>
  <si>
    <t xml:space="preserve">E-2611: estimate to complete at month end (hours)</t>
  </si>
  <si>
    <t xml:space="preserve">E-2611: fee revenue recognised</t>
  </si>
  <si>
    <t xml:space="preserve">E-2611: fees invoiced</t>
  </si>
  <si>
    <t xml:space="preserve">E-2611: travel and expenses (net of recoverable VAT)</t>
  </si>
  <si>
    <t xml:space="preserve">E-2611: travel and expenses invoiced at cost</t>
  </si>
  <si>
    <t xml:space="preserve">CLIENT RECEIPTS (bank) AND THE PELZHOFF VAT CORRECTION</t>
  </si>
  <si>
    <t xml:space="preserve">EBE: cash received</t>
  </si>
  <si>
    <t xml:space="preserve">bank</t>
  </si>
  <si>
    <t xml:space="preserve">NOR: cash received</t>
  </si>
  <si>
    <t xml:space="preserve">WIT: cash received</t>
  </si>
  <si>
    <t xml:space="preserve">RIN: cash received</t>
  </si>
  <si>
    <t xml:space="preserve">ZOR: cash received</t>
  </si>
  <si>
    <t xml:space="preserve">ULM: cash received</t>
  </si>
  <si>
    <t xml:space="preserve">SAU: cash received</t>
  </si>
  <si>
    <t xml:space="preserve">VAR: cash received</t>
  </si>
  <si>
    <t xml:space="preserve">TEG: cash received</t>
  </si>
  <si>
    <t xml:space="preserve">PEL: cash received</t>
  </si>
  <si>
    <t xml:space="preserve">STE: cash received</t>
  </si>
  <si>
    <t xml:space="preserve">SOR: cash received</t>
  </si>
  <si>
    <t xml:space="preserve">Pelzhoff: output VAT corrected on the uncollectible receivable (UStG s17)</t>
  </si>
  <si>
    <t xml:space="preserve">VAT return</t>
  </si>
  <si>
    <t xml:space="preserve">FEE EARNERS: HEADCOUNT, OWN CHARGEABLE HOURS AND SUBCONTRACTOR HOURS BY PRACTICE AND GRADE</t>
  </si>
  <si>
    <t xml:space="preserve">OPS partner: headcount</t>
  </si>
  <si>
    <t xml:space="preserve">payroll</t>
  </si>
  <si>
    <t xml:space="preserve">OPS director: headcount</t>
  </si>
  <si>
    <t xml:space="preserve">OPS manager: headcount</t>
  </si>
  <si>
    <t xml:space="preserve">OPS senior consultant: headcount</t>
  </si>
  <si>
    <t xml:space="preserve">OPS consultant: headcount</t>
  </si>
  <si>
    <t xml:space="preserve">FIN partner: headcount</t>
  </si>
  <si>
    <t xml:space="preserve">FIN director: headcount</t>
  </si>
  <si>
    <t xml:space="preserve">FIN manager: headcount</t>
  </si>
  <si>
    <t xml:space="preserve">FIN senior consultant: headcount</t>
  </si>
  <si>
    <t xml:space="preserve">FIN consultant: headcount</t>
  </si>
  <si>
    <t xml:space="preserve">DIG partner: headcount</t>
  </si>
  <si>
    <t xml:space="preserve">DIG director: headcount</t>
  </si>
  <si>
    <t xml:space="preserve">DIG manager: headcount</t>
  </si>
  <si>
    <t xml:space="preserve">DIG senior consultant: headcount</t>
  </si>
  <si>
    <t xml:space="preserve">DIG consultant: headcount</t>
  </si>
  <si>
    <t xml:space="preserve">OPS partner: chargeable hours, own staff</t>
  </si>
  <si>
    <t xml:space="preserve">OPS partner: chargeable hours, subcontractors</t>
  </si>
  <si>
    <t xml:space="preserve">subcontractor timesheets</t>
  </si>
  <si>
    <t xml:space="preserve">OPS director: chargeable hours, own staff</t>
  </si>
  <si>
    <t xml:space="preserve">OPS director: chargeable hours, subcontractors</t>
  </si>
  <si>
    <t xml:space="preserve">OPS manager: chargeable hours, own staff</t>
  </si>
  <si>
    <t xml:space="preserve">OPS manager: chargeable hours, subcontractors</t>
  </si>
  <si>
    <t xml:space="preserve">OPS senior consultant: chargeable hours, own staff</t>
  </si>
  <si>
    <t xml:space="preserve">OPS senior consultant: chargeable hours, subcontractors</t>
  </si>
  <si>
    <t xml:space="preserve">OPS consultant: chargeable hours, own staff</t>
  </si>
  <si>
    <t xml:space="preserve">OPS consultant: chargeable hours, subcontractors</t>
  </si>
  <si>
    <t xml:space="preserve">FIN partner: chargeable hours, own staff</t>
  </si>
  <si>
    <t xml:space="preserve">FIN partner: chargeable hours, subcontractors</t>
  </si>
  <si>
    <t xml:space="preserve">FIN director: chargeable hours, own staff</t>
  </si>
  <si>
    <t xml:space="preserve">FIN director: chargeable hours, subcontractors</t>
  </si>
  <si>
    <t xml:space="preserve">FIN manager: chargeable hours, own staff</t>
  </si>
  <si>
    <t xml:space="preserve">FIN manager: chargeable hours, subcontractors</t>
  </si>
  <si>
    <t xml:space="preserve">FIN senior consultant: chargeable hours, own staff</t>
  </si>
  <si>
    <t xml:space="preserve">FIN senior consultant: chargeable hours, subcontractors</t>
  </si>
  <si>
    <t xml:space="preserve">FIN consultant: chargeable hours, own staff</t>
  </si>
  <si>
    <t xml:space="preserve">FIN consultant: chargeable hours, subcontractors</t>
  </si>
  <si>
    <t xml:space="preserve">DIG partner: chargeable hours, own staff</t>
  </si>
  <si>
    <t xml:space="preserve">DIG partner: chargeable hours, subcontractors</t>
  </si>
  <si>
    <t xml:space="preserve">DIG director: chargeable hours, own staff</t>
  </si>
  <si>
    <t xml:space="preserve">DIG director: chargeable hours, subcontractors</t>
  </si>
  <si>
    <t xml:space="preserve">DIG manager: chargeable hours, own staff</t>
  </si>
  <si>
    <t xml:space="preserve">DIG manager: chargeable hours, subcontractors</t>
  </si>
  <si>
    <t xml:space="preserve">DIG senior consultant: chargeable hours, own staff</t>
  </si>
  <si>
    <t xml:space="preserve">DIG senior consultant: chargeable hours, subcontractors</t>
  </si>
  <si>
    <t xml:space="preserve">DIG consultant: chargeable hours, own staff</t>
  </si>
  <si>
    <t xml:space="preserve">DIG consultant: chargeable hours, subcontractors</t>
  </si>
  <si>
    <t xml:space="preserve">Subcontractor cost (ex VAT)</t>
  </si>
  <si>
    <t xml:space="preserve">purchase ledger</t>
  </si>
  <si>
    <t xml:space="preserve">PAYROLL</t>
  </si>
  <si>
    <t xml:space="preserve">OPS fee earners: gross salaries</t>
  </si>
  <si>
    <t xml:space="preserve">OPS fee earners: employer social security contributions</t>
  </si>
  <si>
    <t xml:space="preserve">FIN fee earners: gross salaries</t>
  </si>
  <si>
    <t xml:space="preserve">FIN fee earners: employer social security contributions</t>
  </si>
  <si>
    <t xml:space="preserve">DIG fee earners: gross salaries</t>
  </si>
  <si>
    <t xml:space="preserve">DIG fee earners: employer social security contributions</t>
  </si>
  <si>
    <t xml:space="preserve">Founder and central staff: employer social security contributions</t>
  </si>
  <si>
    <t xml:space="preserve">Prior-year bonus paid (provision utilised, incl. employer contributions)</t>
  </si>
  <si>
    <t xml:space="preserve">OVERHEADS (ex VAT), CAPEX, SUPPLIER PAYMENTS, TAX PAYMENTS AND DIVIDENDS</t>
  </si>
  <si>
    <t xml:space="preserve">Capex: IT equipment</t>
  </si>
  <si>
    <t xml:space="preserve">asset register</t>
  </si>
  <si>
    <t xml:space="preserve">Capex: office fit-out and furniture</t>
  </si>
  <si>
    <t xml:space="preserve">Subcontractors: payments</t>
  </si>
  <si>
    <t xml:space="preserve">Travel card statements and expense claims: payments</t>
  </si>
  <si>
    <t xml:space="preserve">Overhead suppliers: payments (excl. rent)</t>
  </si>
  <si>
    <t xml:space="preserve">Corporate income tax and solidarity surcharge: prepayments</t>
  </si>
  <si>
    <t xml:space="preserve">bank, tax account</t>
  </si>
  <si>
    <t xml:space="preserve">Corporate income tax and solidarity surcharge: prior-year balances paid</t>
  </si>
  <si>
    <t xml:space="preserve">Trade tax: prepayments</t>
  </si>
  <si>
    <t xml:space="preserve">bank, municipal tax account</t>
  </si>
  <si>
    <t xml:space="preserve">Trade tax: prior-year balances paid</t>
  </si>
  <si>
    <t xml:space="preserve">Dividends resolved and paid (gross, incl. withholding tax)</t>
  </si>
  <si>
    <t xml:space="preserve">bank, shareholder resolution</t>
  </si>
  <si>
    <t xml:space="preserve">OPENING BALANCE SHEET AT 31-DEC-25 (FY2025 accounts, fictional); client and engagement openings are on the registers</t>
  </si>
  <si>
    <t xml:space="preserve">FY25 accounts</t>
  </si>
  <si>
    <t xml:space="preserve">IT equipment: cost</t>
  </si>
  <si>
    <t xml:space="preserve">IT equipment: accumulated depreciation</t>
  </si>
  <si>
    <t xml:space="preserve">Office fit-out and furniture: cost</t>
  </si>
  <si>
    <t xml:space="preserve">Office fit-out and furniture: accumulated depreciation</t>
  </si>
  <si>
    <t xml:space="preserve">Wage tax payable (December payroll)</t>
  </si>
  <si>
    <t xml:space="preserve">VAT: net November return (paid 10-Jan-26 under the extension)</t>
  </si>
  <si>
    <t xml:space="preserve">VAT: net December return (paid 10-Feb-26, less the special prepayment)</t>
  </si>
  <si>
    <t xml:space="preserve">Bonus provision (FY2025, incl. employer contributions)</t>
  </si>
  <si>
    <t xml:space="preserve">Expected credit loss provision</t>
  </si>
  <si>
    <t xml:space="preserve">Bank loan</t>
  </si>
  <si>
    <t xml:space="preserve">Corporate income tax payable (FY2025 balance)</t>
  </si>
  <si>
    <t xml:space="preserve">Trade tax payable (FY2025 balance)</t>
  </si>
  <si>
    <t xml:space="preserve">Share capital (Stammkapital)</t>
  </si>
  <si>
    <t xml:space="preserve">ORIGINAL FY2026 BUDGET (APPROVED DEC-25, FICTIONAL)</t>
  </si>
  <si>
    <t xml:space="preserve">Twelve budget months. Hours and fee revenue by practice, pay, subcontractors, travel and overhead lines are inputs as approved; everything else is calculated. Never overwritten.</t>
  </si>
  <si>
    <t xml:space="preserve">HOURS</t>
  </si>
  <si>
    <t xml:space="preserve">Operations and supply chain: chargeable hours</t>
  </si>
  <si>
    <t xml:space="preserve">budget input</t>
  </si>
  <si>
    <t xml:space="preserve">Finance and performance: chargeable hours</t>
  </si>
  <si>
    <t xml:space="preserve">Digital and ERP: chargeable hours</t>
  </si>
  <si>
    <t xml:space="preserve">TOTAL CHARGEABLE HOURS</t>
  </si>
  <si>
    <t xml:space="preserve">Fee-earner bonus accrual (at target)</t>
  </si>
  <si>
    <t xml:space="preserve">Central staff bonus accrual (at target)</t>
  </si>
  <si>
    <t xml:space="preserve">Corporate income tax and trade tax (statutory rate)</t>
  </si>
  <si>
    <t xml:space="preserve">profit before tax x (15.825% + 17.15%)</t>
  </si>
  <si>
    <t xml:space="preserve">BUDGETED MONTH-END BALANCES</t>
  </si>
  <si>
    <t xml:space="preserve">budget balance</t>
  </si>
</sst>
</file>

<file path=xl/styles.xml><?xml version="1.0" encoding="utf-8"?>
<styleSheet xmlns="http://schemas.openxmlformats.org/spreadsheetml/2006/main">
  <numFmts count="18">
    <numFmt numFmtId="164" formatCode="General"/>
    <numFmt numFmtId="165" formatCode="mmm\-yy"/>
    <numFmt numFmtId="166" formatCode="@"/>
    <numFmt numFmtId="167" formatCode="#,##0;\(#,##0\);\-"/>
    <numFmt numFmtId="168" formatCode="0.0%;\(0.0%\);\-"/>
    <numFmt numFmtId="169" formatCode="0.0;\(0.0\);\-"/>
    <numFmt numFmtId="170" formatCode="0.0####"/>
    <numFmt numFmtId="171" formatCode="#,##0.00;\(#,##0.00\);\-"/>
    <numFmt numFmtId="172" formatCode="General"/>
    <numFmt numFmtId="173" formatCode="dd\-mmm\-yy"/>
    <numFmt numFmtId="174" formatCode="0"/>
    <numFmt numFmtId="175" formatCode="0%"/>
    <numFmt numFmtId="176" formatCode="0.0000"/>
    <numFmt numFmtId="177" formatCode="0.00"/>
    <numFmt numFmtId="178" formatCode="0.00%;\(0.00%\);\-"/>
    <numFmt numFmtId="179" formatCode="0.000"/>
    <numFmt numFmtId="180" formatCode="0.000000"/>
    <numFmt numFmtId="181" formatCode="0.0"/>
  </numFmts>
  <fonts count="36">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8000"/>
      <name val="Arial"/>
      <family val="0"/>
      <charset val="1"/>
    </font>
    <font>
      <sz val="10"/>
      <color rgb="FF032330"/>
      <name val="Arial"/>
      <family val="0"/>
      <charset val="1"/>
    </font>
    <font>
      <sz val="8"/>
      <color rgb="FF888888"/>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8" fontId="9" fillId="0" borderId="0" xfId="0" applyFont="true" applyBorder="false" applyAlignment="true" applyProtection="false">
      <alignment horizontal="general" vertical="bottom" textRotation="0" wrapText="true" indent="0" shrinkToFit="false"/>
      <protection locked="true" hidden="false"/>
    </xf>
    <xf numFmtId="169"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8" fontId="22" fillId="0" borderId="0" xfId="0" applyFont="true" applyBorder="false" applyAlignment="false" applyProtection="false">
      <alignment horizontal="general" vertical="bottom" textRotation="0" wrapText="false" indent="0" shrinkToFit="false"/>
      <protection locked="true" hidden="false"/>
    </xf>
    <xf numFmtId="169"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2"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3"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4" fontId="28" fillId="0" borderId="0" xfId="0" applyFont="true" applyBorder="false" applyAlignment="true" applyProtection="false">
      <alignment horizontal="center"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22" fillId="6"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9" fontId="22" fillId="6"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7" fontId="33" fillId="4" borderId="2" xfId="0" applyFont="true" applyBorder="true" applyAlignment="false" applyProtection="false">
      <alignment horizontal="general" vertical="bottom" textRotation="0" wrapText="false" indent="0" shrinkToFit="false"/>
      <protection locked="true" hidden="false"/>
    </xf>
    <xf numFmtId="168" fontId="22" fillId="4" borderId="2"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69" fontId="22" fillId="4"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3" fillId="0" borderId="0" xfId="0" applyFont="tru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8" fontId="33" fillId="0"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3" fillId="0" borderId="0" xfId="0" applyFont="true" applyBorder="false" applyAlignment="false" applyProtection="false">
      <alignment horizontal="general" vertical="bottom" textRotation="0" wrapText="false" indent="0" shrinkToFit="false"/>
      <protection locked="true" hidden="false"/>
    </xf>
    <xf numFmtId="169" fontId="0" fillId="7" borderId="0" xfId="0" applyFont="false" applyBorder="false" applyAlignment="false" applyProtection="false">
      <alignment horizontal="general" vertical="bottom" textRotation="0" wrapText="false" indent="0" shrinkToFit="false"/>
      <protection locked="true" hidden="false"/>
    </xf>
    <xf numFmtId="169" fontId="33"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77" fontId="33"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4" fontId="33"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8" fontId="9" fillId="0" borderId="0" xfId="0" applyFont="true" applyBorder="false" applyAlignment="false" applyProtection="false">
      <alignment horizontal="general" vertical="bottom" textRotation="0" wrapText="false" indent="0" shrinkToFit="false"/>
      <protection locked="true" hidden="false"/>
    </xf>
    <xf numFmtId="178" fontId="33" fillId="0" borderId="0" xfId="0" applyFont="true" applyBorder="false" applyAlignment="false" applyProtection="false">
      <alignment horizontal="general" vertical="bottom" textRotation="0" wrapText="false" indent="0" shrinkToFit="false"/>
      <protection locked="true" hidden="false"/>
    </xf>
    <xf numFmtId="173" fontId="15"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9" fontId="35"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79"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3" fontId="22" fillId="0" borderId="0" xfId="0" applyFont="true" applyBorder="false" applyAlignment="false" applyProtection="false">
      <alignment horizontal="general" vertical="bottom" textRotation="0" wrapText="false" indent="0" shrinkToFit="false"/>
      <protection locked="true" hidden="false"/>
    </xf>
    <xf numFmtId="171" fontId="22" fillId="6"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69" fontId="22" fillId="4" borderId="2" xfId="0" applyFont="true" applyBorder="tru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4" fontId="15" fillId="3"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8" fontId="22" fillId="6" borderId="0" xfId="0" applyFont="true" applyBorder="false" applyAlignment="false" applyProtection="false">
      <alignment horizontal="general" vertical="bottom" textRotation="0" wrapText="false" indent="0" shrinkToFit="false"/>
      <protection locked="true" hidden="false"/>
    </xf>
    <xf numFmtId="173" fontId="33" fillId="0" borderId="0" xfId="0" applyFont="true" applyBorder="false" applyAlignment="false" applyProtection="false">
      <alignment horizontal="general" vertical="bottom" textRotation="0" wrapText="false" indent="0" shrinkToFit="false"/>
      <protection locked="true" hidden="false"/>
    </xf>
    <xf numFmtId="173" fontId="15" fillId="3"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8" fontId="15" fillId="3"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69" fontId="15" fillId="3" borderId="0" xfId="0" applyFont="true" applyBorder="false" applyAlignment="false" applyProtection="false">
      <alignment horizontal="general" vertical="bottom" textRotation="0" wrapText="false" indent="0" shrinkToFit="false"/>
      <protection locked="true" hidden="false"/>
    </xf>
    <xf numFmtId="171" fontId="15" fillId="3" borderId="0" xfId="0" applyFont="true" applyBorder="fals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74"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75" fontId="15" fillId="3" borderId="0" xfId="0" applyFont="true" applyBorder="false" applyAlignment="false" applyProtection="false">
      <alignment horizontal="general" vertical="bottom" textRotation="0" wrapText="false" indent="0" shrinkToFit="false"/>
      <protection locked="true" hidden="false"/>
    </xf>
    <xf numFmtId="178" fontId="22" fillId="0" borderId="0" xfId="0" applyFont="true" applyBorder="false" applyAlignment="false" applyProtection="false">
      <alignment horizontal="general" vertical="bottom" textRotation="0" wrapText="false" indent="0" shrinkToFit="false"/>
      <protection locked="true" hidden="false"/>
    </xf>
    <xf numFmtId="178" fontId="15" fillId="3" borderId="0" xfId="0" applyFont="true" applyBorder="false" applyAlignment="false" applyProtection="false">
      <alignment horizontal="general" vertical="bottom" textRotation="0" wrapText="false" indent="0" shrinkToFit="false"/>
      <protection locked="true" hidden="false"/>
    </xf>
    <xf numFmtId="171" fontId="22" fillId="0" borderId="0" xfId="0" applyFont="true" applyBorder="false" applyAlignment="false" applyProtection="false">
      <alignment horizontal="general" vertical="bottom" textRotation="0" wrapText="false" indent="0" shrinkToFit="false"/>
      <protection locked="true" hidden="false"/>
    </xf>
    <xf numFmtId="177" fontId="15" fillId="3" borderId="0" xfId="0" applyFont="true" applyBorder="false" applyAlignment="false" applyProtection="false">
      <alignment horizontal="general" vertical="bottom" textRotation="0" wrapText="false" indent="0" shrinkToFit="false"/>
      <protection locked="true" hidden="false"/>
    </xf>
    <xf numFmtId="180" fontId="0" fillId="0" borderId="0" xfId="0" applyFont="false" applyBorder="false" applyAlignment="false" applyProtection="false">
      <alignment horizontal="general" vertical="bottom" textRotation="0" wrapText="false" indent="0" shrinkToFit="false"/>
      <protection locked="true" hidden="false"/>
    </xf>
    <xf numFmtId="177" fontId="22" fillId="6" borderId="0" xfId="0" applyFont="true" applyBorder="false" applyAlignment="false" applyProtection="false">
      <alignment horizontal="general" vertical="bottom" textRotation="0" wrapText="false" indent="0" shrinkToFit="false"/>
      <protection locked="true" hidden="false"/>
    </xf>
    <xf numFmtId="174" fontId="22" fillId="6"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9" fontId="0" fillId="0" borderId="0" xfId="0" applyFont="false" applyBorder="false" applyAlignment="true" applyProtection="false">
      <alignment horizontal="center" vertical="bottom" textRotation="0" wrapText="false" indent="0" shrinkToFit="false"/>
      <protection locked="true" hidden="false"/>
    </xf>
    <xf numFmtId="181" fontId="15" fillId="3" borderId="0" xfId="0" applyFont="true" applyBorder="false" applyAlignment="true" applyProtection="false">
      <alignment horizontal="center" vertical="bottom" textRotation="0" wrapText="false" indent="0" shrinkToFit="false"/>
      <protection locked="true" hidden="false"/>
    </xf>
    <xf numFmtId="181" fontId="0" fillId="0" borderId="0" xfId="0" applyFont="false" applyBorder="false" applyAlignment="true" applyProtection="false">
      <alignment horizontal="center" vertical="bottom" textRotation="0" wrapText="false" indent="0" shrinkToFit="false"/>
      <protection locked="true" hidden="false"/>
    </xf>
    <xf numFmtId="171" fontId="0" fillId="0" borderId="0" xfId="0" applyFont="false" applyBorder="false" applyAlignment="true" applyProtection="false">
      <alignment horizontal="center"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A6E77"/>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7D5FA0"/>
      <rgbColor rgb="FF999999"/>
      <rgbColor rgb="FF003B46"/>
      <rgbColor rgb="FF4F81BD"/>
      <rgbColor rgb="FF032330"/>
      <rgbColor rgb="FF333300"/>
      <rgbColor rgb="FF9C1C1C"/>
      <rgbColor rgb="FFC0504D"/>
      <rgbColor rgb="FF333399"/>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Fee revenue by practice (EUR)</a:t>
            </a:r>
          </a:p>
        </c:rich>
      </c:tx>
      <c:overlay val="0"/>
      <c:spPr>
        <a:noFill/>
        <a:ln w="0">
          <a:noFill/>
        </a:ln>
      </c:spPr>
    </c:title>
    <c:autoTitleDeleted val="0"/>
    <c:plotArea>
      <c:barChart>
        <c:barDir val="col"/>
        <c:grouping val="stacked"/>
        <c:varyColors val="0"/>
        <c:ser>
          <c:idx val="0"/>
          <c:order val="0"/>
          <c:tx>
            <c:strRef>
              <c:f>"Operations and supply chain"</c:f>
              <c:strCache>
                <c:ptCount val="1"/>
                <c:pt idx="0">
                  <c:v>Operations and supply chain</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Practices!$E$9:$AB$9</c:f>
              <c:numCache>
                <c:formatCode>#,##0;\(#,##0\);\-</c:formatCode>
                <c:ptCount val="24"/>
                <c:pt idx="0">
                  <c:v>179600.47</c:v>
                </c:pt>
                <c:pt idx="1">
                  <c:v>174140.98</c:v>
                </c:pt>
                <c:pt idx="2">
                  <c:v>231936.67</c:v>
                </c:pt>
                <c:pt idx="3">
                  <c:v>200736.68</c:v>
                </c:pt>
                <c:pt idx="4">
                  <c:v>236921.74</c:v>
                </c:pt>
                <c:pt idx="5">
                  <c:v>305796.59</c:v>
                </c:pt>
                <c:pt idx="6">
                  <c:v>218257.96</c:v>
                </c:pt>
                <c:pt idx="7">
                  <c:v>203837.75</c:v>
                </c:pt>
                <c:pt idx="8">
                  <c:v>272926.820415398</c:v>
                </c:pt>
                <c:pt idx="9">
                  <c:v>251180.526276533</c:v>
                </c:pt>
                <c:pt idx="10">
                  <c:v>264604.253457491</c:v>
                </c:pt>
                <c:pt idx="11">
                  <c:v>264035.57200582</c:v>
                </c:pt>
                <c:pt idx="12">
                  <c:v>236364.243622644</c:v>
                </c:pt>
                <c:pt idx="13">
                  <c:v>243700.292659179</c:v>
                </c:pt>
                <c:pt idx="14">
                  <c:v>265197.373534681</c:v>
                </c:pt>
                <c:pt idx="15">
                  <c:v>265033.010145931</c:v>
                </c:pt>
                <c:pt idx="16">
                  <c:v>201999.452948092</c:v>
                </c:pt>
                <c:pt idx="17">
                  <c:v>273631.843312395</c:v>
                </c:pt>
                <c:pt idx="18">
                  <c:v>255423.02814909</c:v>
                </c:pt>
                <c:pt idx="19">
                  <c:v>216203.473853302</c:v>
                </c:pt>
                <c:pt idx="20">
                  <c:v>268256.742467848</c:v>
                </c:pt>
                <c:pt idx="21">
                  <c:v>238996.141138568</c:v>
                </c:pt>
                <c:pt idx="22">
                  <c:v>245868.132549372</c:v>
                </c:pt>
                <c:pt idx="23">
                  <c:v>265964.146259981</c:v>
                </c:pt>
              </c:numCache>
            </c:numRef>
          </c:val>
        </c:ser>
        <c:ser>
          <c:idx val="1"/>
          <c:order val="1"/>
          <c:tx>
            <c:strRef>
              <c:f>"Finance and performance"</c:f>
              <c:strCache>
                <c:ptCount val="1"/>
                <c:pt idx="0">
                  <c:v>Finance and performance</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Practices!$E$26:$AB$26</c:f>
              <c:numCache>
                <c:formatCode>#,##0;\(#,##0\);\-</c:formatCode>
                <c:ptCount val="24"/>
                <c:pt idx="0">
                  <c:v>127787.79</c:v>
                </c:pt>
                <c:pt idx="1">
                  <c:v>185485.46</c:v>
                </c:pt>
                <c:pt idx="2">
                  <c:v>195985.56</c:v>
                </c:pt>
                <c:pt idx="3">
                  <c:v>207813.63</c:v>
                </c:pt>
                <c:pt idx="4">
                  <c:v>182238.72</c:v>
                </c:pt>
                <c:pt idx="5">
                  <c:v>235602.52</c:v>
                </c:pt>
                <c:pt idx="6">
                  <c:v>156486.04</c:v>
                </c:pt>
                <c:pt idx="7">
                  <c:v>121634.4</c:v>
                </c:pt>
                <c:pt idx="8">
                  <c:v>219281.811643199</c:v>
                </c:pt>
                <c:pt idx="9">
                  <c:v>181122.497778687</c:v>
                </c:pt>
                <c:pt idx="10">
                  <c:v>186078.282846543</c:v>
                </c:pt>
                <c:pt idx="11">
                  <c:v>229196.055022266</c:v>
                </c:pt>
                <c:pt idx="12">
                  <c:v>218556.88610897</c:v>
                </c:pt>
                <c:pt idx="13">
                  <c:v>240270.148320449</c:v>
                </c:pt>
                <c:pt idx="14">
                  <c:v>198046.364594348</c:v>
                </c:pt>
                <c:pt idx="15">
                  <c:v>200939.642905643</c:v>
                </c:pt>
                <c:pt idx="16">
                  <c:v>146061.502284179</c:v>
                </c:pt>
                <c:pt idx="17">
                  <c:v>188925.588804109</c:v>
                </c:pt>
                <c:pt idx="18">
                  <c:v>180302.137225837</c:v>
                </c:pt>
                <c:pt idx="19">
                  <c:v>154037.470122496</c:v>
                </c:pt>
                <c:pt idx="20">
                  <c:v>194962.178600967</c:v>
                </c:pt>
                <c:pt idx="21">
                  <c:v>177457.47426999</c:v>
                </c:pt>
                <c:pt idx="22">
                  <c:v>185459.415986071</c:v>
                </c:pt>
                <c:pt idx="23">
                  <c:v>200576.690660201</c:v>
                </c:pt>
              </c:numCache>
            </c:numRef>
          </c:val>
        </c:ser>
        <c:ser>
          <c:idx val="2"/>
          <c:order val="2"/>
          <c:tx>
            <c:strRef>
              <c:f>"Digital and ERP"</c:f>
              <c:strCache>
                <c:ptCount val="1"/>
                <c:pt idx="0">
                  <c:v>Digital and ERP</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Practices!$E$43:$AB$43</c:f>
              <c:numCache>
                <c:formatCode>#,##0;\(#,##0\);\-</c:formatCode>
                <c:ptCount val="24"/>
                <c:pt idx="0">
                  <c:v>150112.6</c:v>
                </c:pt>
                <c:pt idx="1">
                  <c:v>136557.58</c:v>
                </c:pt>
                <c:pt idx="2">
                  <c:v>199053.67</c:v>
                </c:pt>
                <c:pt idx="3">
                  <c:v>131754.7</c:v>
                </c:pt>
                <c:pt idx="4">
                  <c:v>139717.95</c:v>
                </c:pt>
                <c:pt idx="5">
                  <c:v>160149.56</c:v>
                </c:pt>
                <c:pt idx="6">
                  <c:v>215467.73</c:v>
                </c:pt>
                <c:pt idx="7">
                  <c:v>158214.09</c:v>
                </c:pt>
                <c:pt idx="8">
                  <c:v>242014.33119303</c:v>
                </c:pt>
                <c:pt idx="9">
                  <c:v>237848.331387195</c:v>
                </c:pt>
                <c:pt idx="10">
                  <c:v>222502.258486139</c:v>
                </c:pt>
                <c:pt idx="11">
                  <c:v>228480.202573157</c:v>
                </c:pt>
                <c:pt idx="12">
                  <c:v>202069.915764334</c:v>
                </c:pt>
                <c:pt idx="13">
                  <c:v>197634.541526831</c:v>
                </c:pt>
                <c:pt idx="14">
                  <c:v>212009.301005783</c:v>
                </c:pt>
                <c:pt idx="15">
                  <c:v>207969.204726774</c:v>
                </c:pt>
                <c:pt idx="16">
                  <c:v>158425.140025422</c:v>
                </c:pt>
                <c:pt idx="17">
                  <c:v>210831.122219684</c:v>
                </c:pt>
                <c:pt idx="18">
                  <c:v>204103.863139931</c:v>
                </c:pt>
                <c:pt idx="19">
                  <c:v>178731.095763405</c:v>
                </c:pt>
                <c:pt idx="20">
                  <c:v>210727.949019942</c:v>
                </c:pt>
                <c:pt idx="21">
                  <c:v>191972.841561431</c:v>
                </c:pt>
                <c:pt idx="22">
                  <c:v>200799.136503938</c:v>
                </c:pt>
                <c:pt idx="23">
                  <c:v>217348.493569971</c:v>
                </c:pt>
              </c:numCache>
            </c:numRef>
          </c:val>
        </c:ser>
        <c:gapWidth val="150"/>
        <c:overlap val="100"/>
        <c:axId val="87824199"/>
        <c:axId val="43833738"/>
      </c:barChart>
      <c:catAx>
        <c:axId val="87824199"/>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833738"/>
        <c:crosses val="autoZero"/>
        <c:auto val="1"/>
        <c:lblAlgn val="ctr"/>
        <c:lblOffset val="100"/>
        <c:noMultiLvlLbl val="0"/>
      </c:catAx>
      <c:valAx>
        <c:axId val="4383373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82419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Utilisation vs target and realisation</a:t>
            </a:r>
          </a:p>
        </c:rich>
      </c:tx>
      <c:overlay val="0"/>
      <c:spPr>
        <a:noFill/>
        <a:ln w="0">
          <a:noFill/>
        </a:ln>
      </c:spPr>
    </c:title>
    <c:autoTitleDeleted val="0"/>
    <c:plotArea>
      <c:lineChart>
        <c:grouping val="standard"/>
        <c:varyColors val="0"/>
        <c:ser>
          <c:idx val="0"/>
          <c:order val="0"/>
          <c:tx>
            <c:strRef>
              <c:f>"Utilisation"</c:f>
              <c:strCache>
                <c:ptCount val="1"/>
                <c:pt idx="0">
                  <c:v>Utilisation</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Capacity!$E$169:$AB$169</c:f>
              <c:numCache>
                <c:formatCode>0.0%;\(0.0%\);\-</c:formatCode>
                <c:ptCount val="24"/>
                <c:pt idx="0">
                  <c:v>0.596118611378978</c:v>
                </c:pt>
                <c:pt idx="1">
                  <c:v>0.645719095719096</c:v>
                </c:pt>
                <c:pt idx="2">
                  <c:v>0.733196215549157</c:v>
                </c:pt>
                <c:pt idx="3">
                  <c:v>0.714213564213564</c:v>
                </c:pt>
                <c:pt idx="4">
                  <c:v>0.766393889798145</c:v>
                </c:pt>
                <c:pt idx="5">
                  <c:v>0.742073948151296</c:v>
                </c:pt>
                <c:pt idx="6">
                  <c:v>0.626706114398422</c:v>
                </c:pt>
                <c:pt idx="7">
                  <c:v>0.645369433198381</c:v>
                </c:pt>
                <c:pt idx="8">
                  <c:v>0.736498719298478</c:v>
                </c:pt>
                <c:pt idx="9">
                  <c:v>0.69209599643478</c:v>
                </c:pt>
                <c:pt idx="10">
                  <c:v>0.732512764900228</c:v>
                </c:pt>
                <c:pt idx="11">
                  <c:v>0.747938076908751</c:v>
                </c:pt>
                <c:pt idx="12">
                  <c:v>0.743343091819484</c:v>
                </c:pt>
                <c:pt idx="13">
                  <c:v>0.747722726403476</c:v>
                </c:pt>
                <c:pt idx="14">
                  <c:v>0.716595405615998</c:v>
                </c:pt>
                <c:pt idx="15">
                  <c:v>0.671971693608424</c:v>
                </c:pt>
                <c:pt idx="16">
                  <c:v>0.663390277979392</c:v>
                </c:pt>
                <c:pt idx="17">
                  <c:v>0.652949814981637</c:v>
                </c:pt>
                <c:pt idx="18">
                  <c:v>0.640810477193761</c:v>
                </c:pt>
                <c:pt idx="19">
                  <c:v>0.629142684608392</c:v>
                </c:pt>
                <c:pt idx="20">
                  <c:v>0.630534805392897</c:v>
                </c:pt>
                <c:pt idx="21">
                  <c:v>0.622647796970561</c:v>
                </c:pt>
                <c:pt idx="22">
                  <c:v>0.618750292344893</c:v>
                </c:pt>
                <c:pt idx="23">
                  <c:v>0.618726711129359</c:v>
                </c:pt>
              </c:numCache>
            </c:numRef>
          </c:val>
          <c:smooth val="1"/>
        </c:ser>
        <c:ser>
          <c:idx val="1"/>
          <c:order val="1"/>
          <c:tx>
            <c:strRef>
              <c:f>"Target utilisation"</c:f>
              <c:strCache>
                <c:ptCount val="1"/>
                <c:pt idx="0">
                  <c:v>Target utilisation</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Capacity!$E$170:$AB$170</c:f>
              <c:numCache>
                <c:formatCode>0.0%;\(0.0%\);\-</c:formatCode>
                <c:ptCount val="24"/>
                <c:pt idx="0">
                  <c:v>0.736393442622951</c:v>
                </c:pt>
                <c:pt idx="1">
                  <c:v>0.736825396825397</c:v>
                </c:pt>
                <c:pt idx="2">
                  <c:v>0.739384615384616</c:v>
                </c:pt>
                <c:pt idx="3">
                  <c:v>0.736825396825397</c:v>
                </c:pt>
                <c:pt idx="4">
                  <c:v>0.739384615384615</c:v>
                </c:pt>
                <c:pt idx="5">
                  <c:v>0.739384615384615</c:v>
                </c:pt>
                <c:pt idx="6">
                  <c:v>0.739384615384615</c:v>
                </c:pt>
                <c:pt idx="7">
                  <c:v>0.739384615384615</c:v>
                </c:pt>
                <c:pt idx="8">
                  <c:v>0.743572995369242</c:v>
                </c:pt>
                <c:pt idx="9">
                  <c:v>0.745236912375339</c:v>
                </c:pt>
                <c:pt idx="10">
                  <c:v>0.744699066058436</c:v>
                </c:pt>
                <c:pt idx="11">
                  <c:v>0.744637675199042</c:v>
                </c:pt>
                <c:pt idx="12">
                  <c:v>0.746794116859649</c:v>
                </c:pt>
                <c:pt idx="13">
                  <c:v>0.746775834656436</c:v>
                </c:pt>
                <c:pt idx="14">
                  <c:v>0.746751090726072</c:v>
                </c:pt>
                <c:pt idx="15">
                  <c:v>0.746784069581484</c:v>
                </c:pt>
                <c:pt idx="16">
                  <c:v>0.746784425121396</c:v>
                </c:pt>
                <c:pt idx="17">
                  <c:v>0.74678455264779</c:v>
                </c:pt>
                <c:pt idx="18">
                  <c:v>0.746784374130897</c:v>
                </c:pt>
                <c:pt idx="19">
                  <c:v>0.746784364500224</c:v>
                </c:pt>
                <c:pt idx="20">
                  <c:v>0.750579607037252</c:v>
                </c:pt>
                <c:pt idx="21">
                  <c:v>0.750534593004287</c:v>
                </c:pt>
                <c:pt idx="22">
                  <c:v>0.750490088211414</c:v>
                </c:pt>
                <c:pt idx="23">
                  <c:v>0.750446083473724</c:v>
                </c:pt>
              </c:numCache>
            </c:numRef>
          </c:val>
          <c:smooth val="1"/>
        </c:ser>
        <c:ser>
          <c:idx val="2"/>
          <c:order val="2"/>
          <c:tx>
            <c:strRef>
              <c:f>"Realisation"</c:f>
              <c:strCache>
                <c:ptCount val="1"/>
                <c:pt idx="0">
                  <c:v>Realisation</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Time_to_Cash!$E$20:$AB$20</c:f>
              <c:numCache>
                <c:formatCode>0.0%;\(0.0%\);\-</c:formatCode>
                <c:ptCount val="24"/>
                <c:pt idx="0">
                  <c:v>0.900776814682363</c:v>
                </c:pt>
                <c:pt idx="1">
                  <c:v>0.889731943929661</c:v>
                </c:pt>
                <c:pt idx="2">
                  <c:v>0.867744496582623</c:v>
                </c:pt>
                <c:pt idx="3">
                  <c:v>0.866380426506967</c:v>
                </c:pt>
                <c:pt idx="4">
                  <c:v>0.886252073908381</c:v>
                </c:pt>
                <c:pt idx="5">
                  <c:v>0.893922054996845</c:v>
                </c:pt>
                <c:pt idx="6">
                  <c:v>0.879974635406708</c:v>
                </c:pt>
                <c:pt idx="7">
                  <c:v>0.905396750545879</c:v>
                </c:pt>
                <c:pt idx="8">
                  <c:v>0.880912170464179</c:v>
                </c:pt>
                <c:pt idx="9">
                  <c:v>0.908120586865676</c:v>
                </c:pt>
                <c:pt idx="10">
                  <c:v>0.902396780875653</c:v>
                </c:pt>
                <c:pt idx="11">
                  <c:v>0.90303604676341</c:v>
                </c:pt>
                <c:pt idx="12">
                  <c:v>0.888409064713509</c:v>
                </c:pt>
                <c:pt idx="13">
                  <c:v>0.88830863758966</c:v>
                </c:pt>
                <c:pt idx="14">
                  <c:v>0.887198071186054</c:v>
                </c:pt>
                <c:pt idx="15">
                  <c:v>0.886001926442325</c:v>
                </c:pt>
                <c:pt idx="16">
                  <c:v>0.884840142698996</c:v>
                </c:pt>
                <c:pt idx="17">
                  <c:v>0.882397709291689</c:v>
                </c:pt>
                <c:pt idx="18">
                  <c:v>0.881800576857234</c:v>
                </c:pt>
                <c:pt idx="19">
                  <c:v>0.879662797381525</c:v>
                </c:pt>
                <c:pt idx="20">
                  <c:v>0.879802403705803</c:v>
                </c:pt>
                <c:pt idx="21">
                  <c:v>0.883241941102849</c:v>
                </c:pt>
                <c:pt idx="22">
                  <c:v>0.8832</c:v>
                </c:pt>
                <c:pt idx="23">
                  <c:v>0.8832</c:v>
                </c:pt>
              </c:numCache>
            </c:numRef>
          </c:val>
          <c:smooth val="1"/>
        </c:ser>
        <c:hiLowLines>
          <c:spPr>
            <a:ln w="0">
              <a:noFill/>
            </a:ln>
          </c:spPr>
        </c:hiLowLines>
        <c:marker val="0"/>
        <c:axId val="4240721"/>
        <c:axId val="21127325"/>
      </c:lineChart>
      <c:catAx>
        <c:axId val="4240721"/>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127325"/>
        <c:crosses val="autoZero"/>
        <c:auto val="1"/>
        <c:lblAlgn val="ctr"/>
        <c:lblOffset val="100"/>
        <c:noMultiLvlLbl val="0"/>
      </c:catAx>
      <c:valAx>
        <c:axId val="2112732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4072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Lock-up days</a:t>
            </a:r>
          </a:p>
        </c:rich>
      </c:tx>
      <c:overlay val="0"/>
      <c:spPr>
        <a:noFill/>
        <a:ln w="0">
          <a:noFill/>
        </a:ln>
      </c:spPr>
    </c:title>
    <c:autoTitleDeleted val="0"/>
    <c:plotArea>
      <c:lineChart>
        <c:grouping val="standard"/>
        <c:varyColors val="0"/>
        <c:ser>
          <c:idx val="0"/>
          <c:order val="0"/>
          <c:tx>
            <c:strRef>
              <c:f>"Unbilled work days"</c:f>
              <c:strCache>
                <c:ptCount val="1"/>
                <c:pt idx="0">
                  <c:v>Unbilled work days</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Time_to_Cash!$E$33:$AB$33</c:f>
              <c:numCache>
                <c:formatCode>0.0;\(0.0\);\-</c:formatCode>
                <c:ptCount val="24"/>
                <c:pt idx="0">
                  <c:v>28.1910813894426</c:v>
                </c:pt>
                <c:pt idx="1">
                  <c:v>27.1926965645088</c:v>
                </c:pt>
                <c:pt idx="2">
                  <c:v>31.902829714039</c:v>
                </c:pt>
                <c:pt idx="3">
                  <c:v>25.1987141562401</c:v>
                </c:pt>
                <c:pt idx="4">
                  <c:v>26.5199708680425</c:v>
                </c:pt>
                <c:pt idx="5">
                  <c:v>28.9383060086412</c:v>
                </c:pt>
                <c:pt idx="6">
                  <c:v>23.3347583151571</c:v>
                </c:pt>
                <c:pt idx="7">
                  <c:v>19.4450857053074</c:v>
                </c:pt>
                <c:pt idx="8">
                  <c:v>29.7232909805743</c:v>
                </c:pt>
                <c:pt idx="9">
                  <c:v>28.2401081468479</c:v>
                </c:pt>
                <c:pt idx="10">
                  <c:v>27.4760142002456</c:v>
                </c:pt>
                <c:pt idx="11">
                  <c:v>29.4248645798338</c:v>
                </c:pt>
                <c:pt idx="12">
                  <c:v>28.665724183706</c:v>
                </c:pt>
                <c:pt idx="13">
                  <c:v>27.8573188450347</c:v>
                </c:pt>
                <c:pt idx="14">
                  <c:v>29.2602718732414</c:v>
                </c:pt>
                <c:pt idx="15">
                  <c:v>29.7681880299882</c:v>
                </c:pt>
                <c:pt idx="16">
                  <c:v>24.306930990763</c:v>
                </c:pt>
                <c:pt idx="17">
                  <c:v>32.8327686670571</c:v>
                </c:pt>
                <c:pt idx="18">
                  <c:v>31.9514004255798</c:v>
                </c:pt>
                <c:pt idx="19">
                  <c:v>27.1780606118039</c:v>
                </c:pt>
                <c:pt idx="20">
                  <c:v>33.5237184168437</c:v>
                </c:pt>
                <c:pt idx="21">
                  <c:v>32.0424813568224</c:v>
                </c:pt>
                <c:pt idx="22">
                  <c:v>31.915749391453</c:v>
                </c:pt>
                <c:pt idx="23">
                  <c:v>34.727941426001</c:v>
                </c:pt>
              </c:numCache>
            </c:numRef>
          </c:val>
          <c:smooth val="1"/>
        </c:ser>
        <c:ser>
          <c:idx val="1"/>
          <c:order val="1"/>
          <c:tx>
            <c:strRef>
              <c:f>"Debtor days"</c:f>
              <c:strCache>
                <c:ptCount val="1"/>
                <c:pt idx="0">
                  <c:v>Debtor days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Time_to_Cash!$E$34:$AB$34</c:f>
              <c:numCache>
                <c:formatCode>0.0;\(0.0\);\-</c:formatCode>
                <c:ptCount val="24"/>
                <c:pt idx="0">
                  <c:v>44.0060153493058</c:v>
                </c:pt>
                <c:pt idx="1">
                  <c:v>38.6339247784405</c:v>
                </c:pt>
                <c:pt idx="2">
                  <c:v>40.9336847866524</c:v>
                </c:pt>
                <c:pt idx="3">
                  <c:v>42.4442136710368</c:v>
                </c:pt>
                <c:pt idx="4">
                  <c:v>39.5115628694387</c:v>
                </c:pt>
                <c:pt idx="5">
                  <c:v>42.4968811506655</c:v>
                </c:pt>
                <c:pt idx="6">
                  <c:v>44.8311432676395</c:v>
                </c:pt>
                <c:pt idx="7">
                  <c:v>42.6240951650454</c:v>
                </c:pt>
                <c:pt idx="8">
                  <c:v>43.7854810459009</c:v>
                </c:pt>
                <c:pt idx="9">
                  <c:v>50.113520355641</c:v>
                </c:pt>
                <c:pt idx="10">
                  <c:v>47.6566799237139</c:v>
                </c:pt>
                <c:pt idx="11">
                  <c:v>45.1908218959346</c:v>
                </c:pt>
                <c:pt idx="12">
                  <c:v>44.4036885624826</c:v>
                </c:pt>
                <c:pt idx="13">
                  <c:v>41.9168465030391</c:v>
                </c:pt>
                <c:pt idx="14">
                  <c:v>41.6362201438489</c:v>
                </c:pt>
                <c:pt idx="15">
                  <c:v>42.071995489691</c:v>
                </c:pt>
                <c:pt idx="16">
                  <c:v>45.8149743784972</c:v>
                </c:pt>
                <c:pt idx="17">
                  <c:v>38.8948082601612</c:v>
                </c:pt>
                <c:pt idx="18">
                  <c:v>44.8870054273154</c:v>
                </c:pt>
                <c:pt idx="19">
                  <c:v>47.4017735056728</c:v>
                </c:pt>
                <c:pt idx="20">
                  <c:v>40.6477071017147</c:v>
                </c:pt>
                <c:pt idx="21">
                  <c:v>45.1467202842826</c:v>
                </c:pt>
                <c:pt idx="22">
                  <c:v>42.6860167100964</c:v>
                </c:pt>
                <c:pt idx="23">
                  <c:v>42.0232044514868</c:v>
                </c:pt>
              </c:numCache>
            </c:numRef>
          </c:val>
          <c:smooth val="1"/>
        </c:ser>
        <c:ser>
          <c:idx val="2"/>
          <c:order val="2"/>
          <c:tx>
            <c:strRef>
              <c:f>"Lock-up days"</c:f>
              <c:strCache>
                <c:ptCount val="1"/>
                <c:pt idx="0">
                  <c:v>Lock-up days</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Time_to_Cash!$E$35:$AB$35</c:f>
              <c:numCache>
                <c:formatCode>0.0;\(0.0\);\-</c:formatCode>
                <c:ptCount val="24"/>
                <c:pt idx="0">
                  <c:v>72.1970967387484</c:v>
                </c:pt>
                <c:pt idx="1">
                  <c:v>65.8266213429493</c:v>
                </c:pt>
                <c:pt idx="2">
                  <c:v>72.8365145006914</c:v>
                </c:pt>
                <c:pt idx="3">
                  <c:v>67.6429278272769</c:v>
                </c:pt>
                <c:pt idx="4">
                  <c:v>66.0315337374812</c:v>
                </c:pt>
                <c:pt idx="5">
                  <c:v>71.4351871593067</c:v>
                </c:pt>
                <c:pt idx="6">
                  <c:v>68.1659015827966</c:v>
                </c:pt>
                <c:pt idx="7">
                  <c:v>62.0691808703528</c:v>
                </c:pt>
                <c:pt idx="8">
                  <c:v>73.5087720264751</c:v>
                </c:pt>
                <c:pt idx="9">
                  <c:v>78.3536285024889</c:v>
                </c:pt>
                <c:pt idx="10">
                  <c:v>75.1326941239595</c:v>
                </c:pt>
                <c:pt idx="11">
                  <c:v>74.6156864757685</c:v>
                </c:pt>
                <c:pt idx="12">
                  <c:v>73.0694127461885</c:v>
                </c:pt>
                <c:pt idx="13">
                  <c:v>69.7741653480738</c:v>
                </c:pt>
                <c:pt idx="14">
                  <c:v>70.8964920170902</c:v>
                </c:pt>
                <c:pt idx="15">
                  <c:v>71.8401835196792</c:v>
                </c:pt>
                <c:pt idx="16">
                  <c:v>70.1219053692602</c:v>
                </c:pt>
                <c:pt idx="17">
                  <c:v>71.7275769272183</c:v>
                </c:pt>
                <c:pt idx="18">
                  <c:v>76.8384058528952</c:v>
                </c:pt>
                <c:pt idx="19">
                  <c:v>74.5798341174766</c:v>
                </c:pt>
                <c:pt idx="20">
                  <c:v>74.1714255185584</c:v>
                </c:pt>
                <c:pt idx="21">
                  <c:v>77.189201641105</c:v>
                </c:pt>
                <c:pt idx="22">
                  <c:v>74.6017661015494</c:v>
                </c:pt>
                <c:pt idx="23">
                  <c:v>76.7511458774878</c:v>
                </c:pt>
              </c:numCache>
            </c:numRef>
          </c:val>
          <c:smooth val="1"/>
        </c:ser>
        <c:hiLowLines>
          <c:spPr>
            <a:ln w="0">
              <a:noFill/>
            </a:ln>
          </c:spPr>
        </c:hiLowLines>
        <c:marker val="0"/>
        <c:axId val="23917492"/>
        <c:axId val="30817422"/>
      </c:lineChart>
      <c:catAx>
        <c:axId val="23917492"/>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817422"/>
        <c:crosses val="autoZero"/>
        <c:auto val="1"/>
        <c:lblAlgn val="ctr"/>
        <c:lblOffset val="100"/>
        <c:noMultiLvlLbl val="0"/>
      </c:catAx>
      <c:valAx>
        <c:axId val="3081742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days</a:t>
                </a:r>
              </a:p>
            </c:rich>
          </c:tx>
          <c:overlay val="0"/>
          <c:spPr>
            <a:noFill/>
            <a:ln w="0">
              <a:noFill/>
            </a:ln>
          </c:spPr>
        </c:title>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91749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vs receivables and contract balances (EUR)</a:t>
            </a:r>
          </a:p>
        </c:rich>
      </c:tx>
      <c:overlay val="0"/>
      <c:spPr>
        <a:noFill/>
        <a:ln w="0">
          <a:noFill/>
        </a:ln>
      </c:spPr>
    </c:title>
    <c:autoTitleDeleted val="0"/>
    <c:plotArea>
      <c:lineChart>
        <c:grouping val="standard"/>
        <c:varyColors val="0"/>
        <c:ser>
          <c:idx val="0"/>
          <c:order val="0"/>
          <c:tx>
            <c:strRef>
              <c:f>"Cash"</c:f>
              <c:strCache>
                <c:ptCount val="1"/>
                <c:pt idx="0">
                  <c:v>Cash</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BS!$E$9:$AB$9</c:f>
              <c:numCache>
                <c:formatCode>#,##0;\(#,##0\);\-</c:formatCode>
                <c:ptCount val="24"/>
                <c:pt idx="0">
                  <c:v>1577178.87396667</c:v>
                </c:pt>
                <c:pt idx="1">
                  <c:v>1525510.87323333</c:v>
                </c:pt>
                <c:pt idx="2">
                  <c:v>1178074.13812333</c:v>
                </c:pt>
                <c:pt idx="3">
                  <c:v>1074424.97847667</c:v>
                </c:pt>
                <c:pt idx="4">
                  <c:v>1135132.32322667</c:v>
                </c:pt>
                <c:pt idx="5">
                  <c:v>621616.851991667</c:v>
                </c:pt>
                <c:pt idx="6">
                  <c:v>649515.345146667</c:v>
                </c:pt>
                <c:pt idx="7">
                  <c:v>710950.822251667</c:v>
                </c:pt>
                <c:pt idx="8">
                  <c:v>721565.813171793</c:v>
                </c:pt>
                <c:pt idx="9">
                  <c:v>703862.942306065</c:v>
                </c:pt>
                <c:pt idx="10">
                  <c:v>829790.89405412</c:v>
                </c:pt>
                <c:pt idx="11">
                  <c:v>967669.938318941</c:v>
                </c:pt>
                <c:pt idx="12">
                  <c:v>1140945.80185743</c:v>
                </c:pt>
                <c:pt idx="13">
                  <c:v>1233390.60972538</c:v>
                </c:pt>
                <c:pt idx="14">
                  <c:v>1118035.46530776</c:v>
                </c:pt>
                <c:pt idx="15">
                  <c:v>1111194.65840302</c:v>
                </c:pt>
                <c:pt idx="16">
                  <c:v>1190277.97040334</c:v>
                </c:pt>
                <c:pt idx="17">
                  <c:v>1041298.12120599</c:v>
                </c:pt>
                <c:pt idx="18">
                  <c:v>1048763.51074271</c:v>
                </c:pt>
                <c:pt idx="19">
                  <c:v>1130109.53520448</c:v>
                </c:pt>
                <c:pt idx="20">
                  <c:v>1225897.94817019</c:v>
                </c:pt>
                <c:pt idx="21">
                  <c:v>1252253.1620632</c:v>
                </c:pt>
                <c:pt idx="22">
                  <c:v>1361905.74951337</c:v>
                </c:pt>
                <c:pt idx="23">
                  <c:v>1412060.20896387</c:v>
                </c:pt>
              </c:numCache>
            </c:numRef>
          </c:val>
          <c:smooth val="1"/>
        </c:ser>
        <c:ser>
          <c:idx val="1"/>
          <c:order val="1"/>
          <c:tx>
            <c:strRef>
              <c:f>"Trade receivables"</c:f>
              <c:strCache>
                <c:ptCount val="1"/>
                <c:pt idx="0">
                  <c:v>Trade receivables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BS!$E$10:$AB$10</c:f>
              <c:numCache>
                <c:formatCode>#,##0;\(#,##0\);\-</c:formatCode>
                <c:ptCount val="24"/>
                <c:pt idx="0">
                  <c:v>745227.46636</c:v>
                </c:pt>
                <c:pt idx="1">
                  <c:v>725796.186781</c:v>
                </c:pt>
                <c:pt idx="2">
                  <c:v>782343.8123585</c:v>
                </c:pt>
                <c:pt idx="3">
                  <c:v>942462.939131</c:v>
                </c:pt>
                <c:pt idx="4">
                  <c:v>866885.052108</c:v>
                </c:pt>
                <c:pt idx="5">
                  <c:v>1032623.09124</c:v>
                </c:pt>
                <c:pt idx="6">
                  <c:v>982611.046273</c:v>
                </c:pt>
                <c:pt idx="7">
                  <c:v>976603.1344845</c:v>
                </c:pt>
                <c:pt idx="8">
                  <c:v>918804.29972433</c:v>
                </c:pt>
                <c:pt idx="9">
                  <c:v>1066047.51911465</c:v>
                </c:pt>
                <c:pt idx="10">
                  <c:v>1035749.27086315</c:v>
                </c:pt>
                <c:pt idx="11">
                  <c:v>1083263.03420355</c:v>
                </c:pt>
                <c:pt idx="12">
                  <c:v>1079747.70716858</c:v>
                </c:pt>
                <c:pt idx="13">
                  <c:v>1081935.68532407</c:v>
                </c:pt>
                <c:pt idx="14">
                  <c:v>1041452.14175601</c:v>
                </c:pt>
                <c:pt idx="15">
                  <c:v>1043675.23270443</c:v>
                </c:pt>
                <c:pt idx="16">
                  <c:v>1105029.11224221</c:v>
                </c:pt>
                <c:pt idx="17">
                  <c:v>856496.874409607</c:v>
                </c:pt>
                <c:pt idx="18">
                  <c:v>1010572.43023473</c:v>
                </c:pt>
                <c:pt idx="19">
                  <c:v>1036623.36850528</c:v>
                </c:pt>
                <c:pt idx="20">
                  <c:v>908070.454018616</c:v>
                </c:pt>
                <c:pt idx="21">
                  <c:v>1007723.25955672</c:v>
                </c:pt>
                <c:pt idx="22">
                  <c:v>946475.560471166</c:v>
                </c:pt>
                <c:pt idx="23">
                  <c:v>963472.582547473</c:v>
                </c:pt>
              </c:numCache>
            </c:numRef>
          </c:val>
          <c:smooth val="1"/>
        </c:ser>
        <c:ser>
          <c:idx val="2"/>
          <c:order val="2"/>
          <c:tx>
            <c:strRef>
              <c:f>"Contract assets"</c:f>
              <c:strCache>
                <c:ptCount val="1"/>
                <c:pt idx="0">
                  <c:v>Contract assets</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BS!$E$11:$AB$11</c:f>
              <c:numCache>
                <c:formatCode>#,##0;\(#,##0\);\-</c:formatCode>
                <c:ptCount val="24"/>
                <c:pt idx="0">
                  <c:v>416046.58</c:v>
                </c:pt>
                <c:pt idx="1">
                  <c:v>439546.84</c:v>
                </c:pt>
                <c:pt idx="2">
                  <c:v>560306.13</c:v>
                </c:pt>
                <c:pt idx="3">
                  <c:v>470979.52</c:v>
                </c:pt>
                <c:pt idx="4">
                  <c:v>497583.64</c:v>
                </c:pt>
                <c:pt idx="5">
                  <c:v>572638.86</c:v>
                </c:pt>
                <c:pt idx="6">
                  <c:v>469393.58</c:v>
                </c:pt>
                <c:pt idx="7">
                  <c:v>375257.74</c:v>
                </c:pt>
                <c:pt idx="8">
                  <c:v>584166.354642452</c:v>
                </c:pt>
                <c:pt idx="9">
                  <c:v>579554.721362151</c:v>
                </c:pt>
                <c:pt idx="10">
                  <c:v>627286.194548813</c:v>
                </c:pt>
                <c:pt idx="11">
                  <c:v>660475.621276847</c:v>
                </c:pt>
                <c:pt idx="12">
                  <c:v>639335.282618894</c:v>
                </c:pt>
                <c:pt idx="13">
                  <c:v>637718.365646613</c:v>
                </c:pt>
                <c:pt idx="14">
                  <c:v>654730.791290094</c:v>
                </c:pt>
                <c:pt idx="15">
                  <c:v>679249.80518922</c:v>
                </c:pt>
                <c:pt idx="16">
                  <c:v>490281.628451821</c:v>
                </c:pt>
                <c:pt idx="17">
                  <c:v>668856.357557407</c:v>
                </c:pt>
                <c:pt idx="18">
                  <c:v>631979.139947312</c:v>
                </c:pt>
                <c:pt idx="19">
                  <c:v>550116.330798151</c:v>
                </c:pt>
                <c:pt idx="20">
                  <c:v>678763.44963653</c:v>
                </c:pt>
                <c:pt idx="21">
                  <c:v>637835.323625286</c:v>
                </c:pt>
                <c:pt idx="22">
                  <c:v>671458.270286347</c:v>
                </c:pt>
                <c:pt idx="23">
                  <c:v>726433.972420348</c:v>
                </c:pt>
              </c:numCache>
            </c:numRef>
          </c:val>
          <c:smooth val="1"/>
        </c:ser>
        <c:ser>
          <c:idx val="3"/>
          <c:order val="3"/>
          <c:tx>
            <c:strRef>
              <c:f>"Contract liabilities"</c:f>
              <c:strCache>
                <c:ptCount val="1"/>
                <c:pt idx="0">
                  <c:v>Contract liabilities</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Assumptions!$E$186:$AB$186</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BS!$E$21:$AB$21</c:f>
              <c:numCache>
                <c:formatCode>#,##0;\(#,##0\);\-</c:formatCode>
                <c:ptCount val="24"/>
                <c:pt idx="0">
                  <c:v>44115.87</c:v>
                </c:pt>
                <c:pt idx="1">
                  <c:v>35015.54</c:v>
                </c:pt>
                <c:pt idx="2">
                  <c:v>23217.76</c:v>
                </c:pt>
                <c:pt idx="3">
                  <c:v>36015.43</c:v>
                </c:pt>
                <c:pt idx="4">
                  <c:v>11299.39</c:v>
                </c:pt>
                <c:pt idx="5">
                  <c:v>38346.58</c:v>
                </c:pt>
                <c:pt idx="6">
                  <c:v>15745.86</c:v>
                </c:pt>
                <c:pt idx="7">
                  <c:v>39044.51</c:v>
                </c:pt>
                <c:pt idx="8">
                  <c:v>13581.2155390494</c:v>
                </c:pt>
                <c:pt idx="9">
                  <c:v>5870.96774193564</c:v>
                </c:pt>
                <c:pt idx="10">
                  <c:v>4578.66184448478</c:v>
                </c:pt>
                <c:pt idx="11">
                  <c:v>3002.17706821496</c:v>
                </c:pt>
                <c:pt idx="12">
                  <c:v>13511.9234543672</c:v>
                </c:pt>
                <c:pt idx="13">
                  <c:v>19788.2614082182</c:v>
                </c:pt>
                <c:pt idx="14">
                  <c:v>1.56433088704944E-010</c:v>
                </c:pt>
                <c:pt idx="15">
                  <c:v>2439.00883218858</c:v>
                </c:pt>
                <c:pt idx="16">
                  <c:v>7037.93103448293</c:v>
                </c:pt>
                <c:pt idx="17">
                  <c:v>1.56433088704944E-010</c:v>
                </c:pt>
                <c:pt idx="18">
                  <c:v>1.56433088704944E-010</c:v>
                </c:pt>
                <c:pt idx="19">
                  <c:v>1.56433088704944E-010</c:v>
                </c:pt>
                <c:pt idx="20">
                  <c:v>1.56433088704944E-010</c:v>
                </c:pt>
                <c:pt idx="21">
                  <c:v>1.56433088704944E-010</c:v>
                </c:pt>
                <c:pt idx="22">
                  <c:v>1.56433088704944E-010</c:v>
                </c:pt>
                <c:pt idx="23">
                  <c:v>1.56433088704944E-010</c:v>
                </c:pt>
              </c:numCache>
            </c:numRef>
          </c:val>
          <c:smooth val="1"/>
        </c:ser>
        <c:hiLowLines>
          <c:spPr>
            <a:ln w="0">
              <a:noFill/>
            </a:ln>
          </c:spPr>
        </c:hiLowLines>
        <c:marker val="0"/>
        <c:axId val="98710467"/>
        <c:axId val="95551151"/>
      </c:lineChart>
      <c:catAx>
        <c:axId val="98710467"/>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551151"/>
        <c:crosses val="autoZero"/>
        <c:auto val="1"/>
        <c:lblAlgn val="ctr"/>
        <c:lblOffset val="100"/>
        <c:noMultiLvlLbl val="0"/>
      </c:catAx>
      <c:valAx>
        <c:axId val="9555115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71046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40</xdr:row>
      <xdr:rowOff>160560</xdr:rowOff>
    </xdr:from>
    <xdr:to>
      <xdr:col>4</xdr:col>
      <xdr:colOff>730080</xdr:colOff>
      <xdr:row>55</xdr:row>
      <xdr:rowOff>2880</xdr:rowOff>
    </xdr:to>
    <xdr:graphicFrame>
      <xdr:nvGraphicFramePr>
        <xdr:cNvPr id="0" name="Chart 1"/>
        <xdr:cNvGraphicFramePr/>
      </xdr:nvGraphicFramePr>
      <xdr:xfrm>
        <a:off x="0" y="781056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56</xdr:row>
      <xdr:rowOff>160920</xdr:rowOff>
    </xdr:from>
    <xdr:to>
      <xdr:col>4</xdr:col>
      <xdr:colOff>730080</xdr:colOff>
      <xdr:row>71</xdr:row>
      <xdr:rowOff>2880</xdr:rowOff>
    </xdr:to>
    <xdr:graphicFrame>
      <xdr:nvGraphicFramePr>
        <xdr:cNvPr id="1" name="Chart 2"/>
        <xdr:cNvGraphicFramePr/>
      </xdr:nvGraphicFramePr>
      <xdr:xfrm>
        <a:off x="0" y="1085868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72</xdr:row>
      <xdr:rowOff>160560</xdr:rowOff>
    </xdr:from>
    <xdr:to>
      <xdr:col>4</xdr:col>
      <xdr:colOff>730080</xdr:colOff>
      <xdr:row>87</xdr:row>
      <xdr:rowOff>2880</xdr:rowOff>
    </xdr:to>
    <xdr:graphicFrame>
      <xdr:nvGraphicFramePr>
        <xdr:cNvPr id="2" name="Chart 3"/>
        <xdr:cNvGraphicFramePr/>
      </xdr:nvGraphicFramePr>
      <xdr:xfrm>
        <a:off x="0" y="1390644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88</xdr:row>
      <xdr:rowOff>160560</xdr:rowOff>
    </xdr:from>
    <xdr:to>
      <xdr:col>4</xdr:col>
      <xdr:colOff>730080</xdr:colOff>
      <xdr:row>103</xdr:row>
      <xdr:rowOff>2880</xdr:rowOff>
    </xdr:to>
    <xdr:graphicFrame>
      <xdr:nvGraphicFramePr>
        <xdr:cNvPr id="3" name="Chart 4"/>
        <xdr:cNvGraphicFramePr/>
      </xdr:nvGraphicFramePr>
      <xdr:xfrm>
        <a:off x="0" y="1695456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Relationship Id="rId32" Type="http://schemas.openxmlformats.org/officeDocument/2006/relationships/hyperlink" Target="final.xlsx" TargetMode="External"/><Relationship Id="rId33"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Selmberg Consulting GmbH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78"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Checks!E51</f>
        <v>OK</v>
      </c>
    </row>
    <row r="12" customFormat="false" ht="15" hidden="false" customHeight="false" outlineLevel="0" collapsed="false">
      <c r="B12" s="5" t="s">
        <v>8</v>
      </c>
      <c r="C12" s="9" t="n">
        <f aca="false">PL!$C$14</f>
        <v>7663693.79241965</v>
      </c>
    </row>
    <row r="13" customFormat="false" ht="15" hidden="false" customHeight="false" outlineLevel="0" collapsed="false">
      <c r="B13" s="5" t="s">
        <v>9</v>
      </c>
      <c r="C13" s="9" t="n">
        <f aca="false">PL!$C$42</f>
        <v>912882.484438358</v>
      </c>
    </row>
    <row r="14" customFormat="false" ht="15" hidden="false" customHeight="false" outlineLevel="0" collapsed="false">
      <c r="B14" s="5" t="s">
        <v>10</v>
      </c>
      <c r="C14" s="10" t="n">
        <f aca="false">Capacity!$C$169</f>
        <v>0.699615496932586</v>
      </c>
    </row>
    <row r="15" customFormat="false" ht="15" hidden="false" customHeight="false" outlineLevel="0" collapsed="false">
      <c r="B15" s="5" t="s">
        <v>11</v>
      </c>
      <c r="C15" s="11" t="n">
        <f aca="false">INDEX(Time_to_Cash!$E$35:$AB$35,Assumptions!$C$10)</f>
        <v>62.0691808703528</v>
      </c>
    </row>
    <row r="16" customFormat="false" ht="15" hidden="false" customHeight="false" outlineLevel="0" collapsed="false">
      <c r="B16" s="5" t="s">
        <v>12</v>
      </c>
      <c r="C16" s="9" t="n">
        <f aca="false">INDEX(BS!$E$9:$AB$9,Assumptions!$C$10)</f>
        <v>710950.822251667</v>
      </c>
    </row>
    <row r="17" customFormat="false" ht="15" hidden="false" customHeight="false" outlineLevel="0" collapsed="false">
      <c r="B17" s="5" t="s">
        <v>13</v>
      </c>
      <c r="C17" s="9" t="n">
        <f aca="false">Cash_13W!C69</f>
        <v>692449.363451098</v>
      </c>
    </row>
    <row r="18" customFormat="false" ht="23.85" hidden="false" customHeight="false" outlineLevel="0" collapsed="false">
      <c r="B18" s="5" t="s">
        <v>14</v>
      </c>
      <c r="C18" s="8" t="s">
        <v>15</v>
      </c>
    </row>
    <row r="20" customFormat="false" ht="15" hidden="false" customHeight="false" outlineLevel="0" collapsed="false">
      <c r="B20" s="12" t="s">
        <v>16</v>
      </c>
      <c r="C20" s="12" t="s">
        <v>17</v>
      </c>
      <c r="D20" s="12" t="s">
        <v>18</v>
      </c>
    </row>
    <row r="21" customFormat="false" ht="15" hidden="false" customHeight="false" outlineLevel="0" collapsed="false">
      <c r="B21" s="13" t="s">
        <v>19</v>
      </c>
      <c r="C21" s="14" t="s">
        <v>20</v>
      </c>
      <c r="D21" s="15" t="s">
        <v>21</v>
      </c>
    </row>
    <row r="22" customFormat="false" ht="15" hidden="false" customHeight="false" outlineLevel="0" collapsed="false">
      <c r="B22" s="13" t="s">
        <v>22</v>
      </c>
      <c r="C22" s="14" t="s">
        <v>23</v>
      </c>
      <c r="D22" s="15" t="s">
        <v>21</v>
      </c>
    </row>
    <row r="23" customFormat="false" ht="15" hidden="false" customHeight="false" outlineLevel="0" collapsed="false">
      <c r="B23" s="13" t="s">
        <v>24</v>
      </c>
      <c r="C23" s="14" t="s">
        <v>25</v>
      </c>
      <c r="D23" s="15" t="s">
        <v>26</v>
      </c>
    </row>
    <row r="24" customFormat="false" ht="15" hidden="false" customHeight="false" outlineLevel="0" collapsed="false">
      <c r="B24" s="13" t="s">
        <v>27</v>
      </c>
      <c r="C24" s="14" t="s">
        <v>28</v>
      </c>
      <c r="D24" s="15" t="s">
        <v>21</v>
      </c>
    </row>
    <row r="25" customFormat="false" ht="15" hidden="false" customHeight="false" outlineLevel="0" collapsed="false">
      <c r="B25" s="13" t="s">
        <v>29</v>
      </c>
      <c r="C25" s="14" t="s">
        <v>30</v>
      </c>
      <c r="D25" s="15" t="s">
        <v>21</v>
      </c>
    </row>
    <row r="26" customFormat="false" ht="15" hidden="false" customHeight="false" outlineLevel="0" collapsed="false">
      <c r="B26" s="13" t="s">
        <v>31</v>
      </c>
      <c r="C26" s="14" t="s">
        <v>32</v>
      </c>
      <c r="D26" s="15" t="s">
        <v>33</v>
      </c>
    </row>
    <row r="27" customFormat="false" ht="15" hidden="false" customHeight="false" outlineLevel="0" collapsed="false">
      <c r="B27" s="13" t="s">
        <v>34</v>
      </c>
      <c r="C27" s="14" t="s">
        <v>35</v>
      </c>
      <c r="D27" s="15" t="s">
        <v>33</v>
      </c>
    </row>
    <row r="28" customFormat="false" ht="15" hidden="false" customHeight="false" outlineLevel="0" collapsed="false">
      <c r="B28" s="13" t="s">
        <v>36</v>
      </c>
      <c r="C28" s="14" t="s">
        <v>37</v>
      </c>
      <c r="D28" s="15" t="s">
        <v>33</v>
      </c>
    </row>
    <row r="29" customFormat="false" ht="15" hidden="false" customHeight="false" outlineLevel="0" collapsed="false">
      <c r="B29" s="13" t="s">
        <v>38</v>
      </c>
      <c r="C29" s="14" t="s">
        <v>39</v>
      </c>
      <c r="D29" s="15" t="s">
        <v>40</v>
      </c>
    </row>
    <row r="30" customFormat="false" ht="15" hidden="false" customHeight="false" outlineLevel="0" collapsed="false">
      <c r="B30" s="13" t="s">
        <v>41</v>
      </c>
      <c r="C30" s="14" t="s">
        <v>42</v>
      </c>
      <c r="D30" s="15" t="s">
        <v>40</v>
      </c>
    </row>
    <row r="31" customFormat="false" ht="15" hidden="false" customHeight="false" outlineLevel="0" collapsed="false">
      <c r="B31" s="13" t="s">
        <v>43</v>
      </c>
      <c r="C31" s="14" t="s">
        <v>44</v>
      </c>
      <c r="D31" s="15" t="s">
        <v>40</v>
      </c>
    </row>
    <row r="32" customFormat="false" ht="15" hidden="false" customHeight="false" outlineLevel="0" collapsed="false">
      <c r="B32" s="13" t="s">
        <v>45</v>
      </c>
      <c r="C32" s="14" t="s">
        <v>46</v>
      </c>
      <c r="D32" s="15" t="s">
        <v>40</v>
      </c>
    </row>
    <row r="33" customFormat="false" ht="15" hidden="false" customHeight="false" outlineLevel="0" collapsed="false">
      <c r="B33" s="13" t="s">
        <v>47</v>
      </c>
      <c r="C33" s="14" t="s">
        <v>48</v>
      </c>
      <c r="D33" s="15" t="s">
        <v>40</v>
      </c>
    </row>
    <row r="34" customFormat="false" ht="15" hidden="false" customHeight="false" outlineLevel="0" collapsed="false">
      <c r="B34" s="13" t="s">
        <v>49</v>
      </c>
      <c r="C34" s="14" t="s">
        <v>50</v>
      </c>
      <c r="D34" s="15" t="s">
        <v>40</v>
      </c>
    </row>
    <row r="35" customFormat="false" ht="15" hidden="false" customHeight="false" outlineLevel="0" collapsed="false">
      <c r="B35" s="13" t="s">
        <v>51</v>
      </c>
      <c r="C35" s="14" t="s">
        <v>52</v>
      </c>
      <c r="D35" s="15" t="s">
        <v>53</v>
      </c>
    </row>
    <row r="36" customFormat="false" ht="15" hidden="false" customHeight="false" outlineLevel="0" collapsed="false">
      <c r="B36" s="13" t="s">
        <v>54</v>
      </c>
      <c r="C36" s="14" t="s">
        <v>55</v>
      </c>
      <c r="D36" s="15" t="s">
        <v>53</v>
      </c>
    </row>
    <row r="37" customFormat="false" ht="15" hidden="false" customHeight="false" outlineLevel="0" collapsed="false">
      <c r="B37" s="13" t="s">
        <v>56</v>
      </c>
      <c r="C37" s="14" t="s">
        <v>57</v>
      </c>
      <c r="D37" s="15" t="s">
        <v>53</v>
      </c>
    </row>
    <row r="38" customFormat="false" ht="15" hidden="false" customHeight="false" outlineLevel="0" collapsed="false">
      <c r="B38" s="13" t="s">
        <v>58</v>
      </c>
      <c r="C38" s="14" t="s">
        <v>59</v>
      </c>
      <c r="D38" s="15" t="s">
        <v>53</v>
      </c>
    </row>
    <row r="39" customFormat="false" ht="15" hidden="false" customHeight="false" outlineLevel="0" collapsed="false">
      <c r="B39" s="13" t="s">
        <v>60</v>
      </c>
      <c r="C39" s="14" t="s">
        <v>61</v>
      </c>
      <c r="D39" s="15" t="s">
        <v>53</v>
      </c>
    </row>
    <row r="40" customFormat="false" ht="15" hidden="false" customHeight="false" outlineLevel="0" collapsed="false">
      <c r="B40" s="13" t="s">
        <v>62</v>
      </c>
      <c r="C40" s="14" t="s">
        <v>63</v>
      </c>
      <c r="D40" s="15" t="s">
        <v>53</v>
      </c>
    </row>
    <row r="41" customFormat="false" ht="15" hidden="false" customHeight="false" outlineLevel="0" collapsed="false">
      <c r="B41" s="13" t="s">
        <v>64</v>
      </c>
      <c r="C41" s="14" t="s">
        <v>65</v>
      </c>
      <c r="D41" s="15" t="s">
        <v>53</v>
      </c>
    </row>
    <row r="42" customFormat="false" ht="15" hidden="false" customHeight="false" outlineLevel="0" collapsed="false">
      <c r="B42" s="13" t="s">
        <v>66</v>
      </c>
      <c r="C42" s="14" t="s">
        <v>67</v>
      </c>
      <c r="D42" s="15" t="s">
        <v>53</v>
      </c>
    </row>
    <row r="43" customFormat="false" ht="15" hidden="false" customHeight="false" outlineLevel="0" collapsed="false">
      <c r="B43" s="13" t="s">
        <v>68</v>
      </c>
      <c r="C43" s="14" t="s">
        <v>69</v>
      </c>
      <c r="D43" s="15" t="s">
        <v>53</v>
      </c>
    </row>
    <row r="44" customFormat="false" ht="15" hidden="false" customHeight="false" outlineLevel="0" collapsed="false">
      <c r="B44" s="13" t="s">
        <v>70</v>
      </c>
      <c r="C44" s="14" t="s">
        <v>71</v>
      </c>
      <c r="D44" s="15" t="s">
        <v>53</v>
      </c>
    </row>
    <row r="45" customFormat="false" ht="15" hidden="false" customHeight="false" outlineLevel="0" collapsed="false">
      <c r="B45" s="13" t="s">
        <v>72</v>
      </c>
      <c r="C45" s="14" t="s">
        <v>73</v>
      </c>
      <c r="D45" s="15" t="s">
        <v>53</v>
      </c>
    </row>
    <row r="46" customFormat="false" ht="15" hidden="false" customHeight="false" outlineLevel="0" collapsed="false">
      <c r="B46" s="13" t="s">
        <v>74</v>
      </c>
      <c r="C46" s="14" t="s">
        <v>75</v>
      </c>
      <c r="D46" s="15" t="s">
        <v>53</v>
      </c>
    </row>
    <row r="47" customFormat="false" ht="15" hidden="false" customHeight="false" outlineLevel="0" collapsed="false">
      <c r="B47" s="13" t="s">
        <v>76</v>
      </c>
      <c r="C47" s="14" t="s">
        <v>77</v>
      </c>
      <c r="D47" s="15" t="s">
        <v>53</v>
      </c>
    </row>
    <row r="48" customFormat="false" ht="15" hidden="false" customHeight="false" outlineLevel="0" collapsed="false">
      <c r="B48" s="13" t="s">
        <v>78</v>
      </c>
      <c r="C48" s="14" t="s">
        <v>79</v>
      </c>
      <c r="D48" s="15" t="s">
        <v>53</v>
      </c>
    </row>
    <row r="49" customFormat="false" ht="15" hidden="false" customHeight="false" outlineLevel="0" collapsed="false">
      <c r="B49" s="13" t="s">
        <v>80</v>
      </c>
      <c r="C49" s="14" t="s">
        <v>81</v>
      </c>
      <c r="D49" s="15" t="s">
        <v>82</v>
      </c>
    </row>
    <row r="50" customFormat="false" ht="15" hidden="false" customHeight="false" outlineLevel="0" collapsed="false">
      <c r="B50" s="13" t="s">
        <v>83</v>
      </c>
      <c r="C50" s="14" t="s">
        <v>84</v>
      </c>
      <c r="D50" s="15" t="s">
        <v>82</v>
      </c>
    </row>
    <row r="51" customFormat="false" ht="15" hidden="false" customHeight="false" outlineLevel="0" collapsed="false">
      <c r="B51" s="13" t="s">
        <v>85</v>
      </c>
      <c r="C51" s="14" t="s">
        <v>86</v>
      </c>
      <c r="D51" s="15" t="s">
        <v>82</v>
      </c>
    </row>
    <row r="52" customFormat="false" ht="15" hidden="false" customHeight="false" outlineLevel="0" collapsed="false">
      <c r="B52" s="13" t="s">
        <v>87</v>
      </c>
      <c r="C52" s="14" t="s">
        <v>88</v>
      </c>
      <c r="D52" s="15" t="s">
        <v>82</v>
      </c>
    </row>
    <row r="53" customFormat="false" ht="15" hidden="false" customHeight="false" outlineLevel="0" collapsed="false">
      <c r="B53" s="13" t="s">
        <v>89</v>
      </c>
      <c r="C53" s="14" t="s">
        <v>90</v>
      </c>
      <c r="D53" s="15" t="s">
        <v>82</v>
      </c>
    </row>
    <row r="55" customFormat="false" ht="15" hidden="false" customHeight="false" outlineLevel="0" collapsed="false">
      <c r="B55" s="5" t="s">
        <v>91</v>
      </c>
    </row>
    <row r="56" customFormat="false" ht="15" hidden="false" customHeight="false" outlineLevel="0" collapsed="false">
      <c r="B56" s="16" t="s">
        <v>92</v>
      </c>
    </row>
    <row r="57" customFormat="false" ht="15" hidden="false" customHeight="false" outlineLevel="0" collapsed="false">
      <c r="B57" s="17" t="s">
        <v>93</v>
      </c>
    </row>
    <row r="58" customFormat="false" ht="15" hidden="false" customHeight="false" outlineLevel="0" collapsed="false">
      <c r="B58" s="18" t="s">
        <v>94</v>
      </c>
    </row>
    <row r="59" customFormat="false" ht="15" hidden="false" customHeight="false" outlineLevel="0" collapsed="false">
      <c r="B59" s="19" t="s">
        <v>95</v>
      </c>
    </row>
    <row r="60" customFormat="false" ht="15" hidden="false" customHeight="false" outlineLevel="0" collapsed="false">
      <c r="B60" s="20" t="s">
        <v>96</v>
      </c>
    </row>
  </sheetData>
  <mergeCells count="1">
    <mergeCell ref="B6:E6"/>
  </mergeCells>
  <hyperlinks>
    <hyperlink ref="B21" r:id="rId1" location="'Cover'!A1" display="Cover"/>
    <hyperlink ref="B22" r:id="rId2" location="'Guide'!A1" display="Guide"/>
    <hyperlink ref="B23" r:id="rId3" location="'Checks'!A1" display="Checks"/>
    <hyperlink ref="B24" r:id="rId4" location="'CFO_Report'!A1" display="CFO_Report"/>
    <hyperlink ref="B25" r:id="rId5" location="'KPIs'!A1" display="KPIs"/>
    <hyperlink ref="B26" r:id="rId6" location="'PL'!A1" display="PL"/>
    <hyperlink ref="B27" r:id="rId7" location="'BS'!A1" display="BS"/>
    <hyperlink ref="B28" r:id="rId8" location="'CF'!A1" display="CF"/>
    <hyperlink ref="B29" r:id="rId9" location="'BvA'!A1" display="BvA"/>
    <hyperlink ref="B30" r:id="rId10" location="'Scenarios'!A1" display="Scenarios"/>
    <hyperlink ref="B31" r:id="rId11" location="'Cash_13W'!A1" display="Cash_13W"/>
    <hyperlink ref="B32" r:id="rId12" location="'Practices'!A1" display="Practices"/>
    <hyperlink ref="B33" r:id="rId13" location="'Time_to_Cash'!A1" display="Time_to_Cash"/>
    <hyperlink ref="B34" r:id="rId14" location="'Engagement_Review'!A1" display="Engagement_Review"/>
    <hyperlink ref="B35" r:id="rId15" location="'Engagements'!A1" display="Engagements"/>
    <hyperlink ref="B36" r:id="rId16" location="'Clients'!A1" display="Clients"/>
    <hyperlink ref="B37" r:id="rId17" location="'Capacity'!A1" display="Capacity"/>
    <hyperlink ref="B38" r:id="rId18" location="'People'!A1" display="People"/>
    <hyperlink ref="B39" r:id="rId19" location="'Pipeline'!A1" display="Pipeline"/>
    <hyperlink ref="B40" r:id="rId20" location="'Receivables'!A1" display="Receivables"/>
    <hyperlink ref="B41" r:id="rId21" location="'AR_Aging'!A1" display="AR_Aging"/>
    <hyperlink ref="B42" r:id="rId22" location="'AP_Aging'!A1" display="AP_Aging"/>
    <hyperlink ref="B43" r:id="rId23" location="'Payables'!A1" display="Payables"/>
    <hyperlink ref="B44" r:id="rId24" location="'VAT'!A1" display="VAT"/>
    <hyperlink ref="B45" r:id="rId25" location="'Tax'!A1" display="Tax"/>
    <hyperlink ref="B46" r:id="rId26" location="'Overheads'!A1" display="Overheads"/>
    <hyperlink ref="B47" r:id="rId27" location="'Fixed_Assets'!A1" display="Fixed_Assets"/>
    <hyperlink ref="B48" r:id="rId28" location="'Financing'!A1" display="Financing"/>
    <hyperlink ref="B49" r:id="rId29" location="'Engagement_Register'!A1" display="Engagement_Register"/>
    <hyperlink ref="B50" r:id="rId30" location="'Client_Register'!A1" display="Client_Register"/>
    <hyperlink ref="B51" r:id="rId31" location="'Assumptions'!A1" display="Assumptions"/>
    <hyperlink ref="B52" r:id="rId32" location="'Inputs_Actuals'!A1" display="Inputs_Actuals"/>
    <hyperlink ref="B53" r:id="rId33"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97</v>
      </c>
    </row>
    <row r="4" customFormat="false" ht="15" hidden="false" customHeight="false" outlineLevel="0" collapsed="false">
      <c r="A4" s="23" t="s">
        <v>98</v>
      </c>
      <c r="B4" s="24"/>
    </row>
    <row r="5" customFormat="false" ht="90" hidden="false" customHeight="true" outlineLevel="0" collapsed="false">
      <c r="A5" s="25" t="s">
        <v>99</v>
      </c>
      <c r="B5" s="25"/>
    </row>
    <row r="6" customFormat="false" ht="45" hidden="false" customHeight="true" outlineLevel="0" collapsed="false">
      <c r="A6" s="25" t="s">
        <v>100</v>
      </c>
      <c r="B6" s="25"/>
    </row>
    <row r="8" customFormat="false" ht="15" hidden="false" customHeight="false" outlineLevel="0" collapsed="false">
      <c r="A8" s="23" t="s">
        <v>101</v>
      </c>
      <c r="B8" s="24"/>
    </row>
    <row r="9" customFormat="false" ht="75" hidden="false" customHeight="true" outlineLevel="0" collapsed="false">
      <c r="A9" s="25" t="s">
        <v>102</v>
      </c>
      <c r="B9" s="25"/>
    </row>
    <row r="10" customFormat="false" ht="45" hidden="false" customHeight="true" outlineLevel="0" collapsed="false">
      <c r="A10" s="25" t="s">
        <v>103</v>
      </c>
      <c r="B10" s="25"/>
    </row>
    <row r="11" customFormat="false" ht="45" hidden="false" customHeight="true" outlineLevel="0" collapsed="false">
      <c r="A11" s="25" t="s">
        <v>104</v>
      </c>
      <c r="B11" s="25"/>
    </row>
    <row r="12" customFormat="false" ht="30" hidden="false" customHeight="true" outlineLevel="0" collapsed="false">
      <c r="A12" s="25" t="s">
        <v>105</v>
      </c>
      <c r="B12" s="25"/>
    </row>
    <row r="13" customFormat="false" ht="30" hidden="false" customHeight="true" outlineLevel="0" collapsed="false">
      <c r="A13" s="25" t="s">
        <v>106</v>
      </c>
      <c r="B13" s="25"/>
    </row>
    <row r="15" customFormat="false" ht="15" hidden="false" customHeight="false" outlineLevel="0" collapsed="false">
      <c r="A15" s="23" t="s">
        <v>107</v>
      </c>
      <c r="B15" s="24"/>
    </row>
    <row r="16" customFormat="false" ht="60" hidden="false" customHeight="true" outlineLevel="0" collapsed="false">
      <c r="A16" s="25" t="s">
        <v>108</v>
      </c>
      <c r="B16" s="25"/>
    </row>
    <row r="17" customFormat="false" ht="30" hidden="false" customHeight="true" outlineLevel="0" collapsed="false">
      <c r="A17" s="25" t="s">
        <v>109</v>
      </c>
      <c r="B17" s="25"/>
    </row>
    <row r="18" customFormat="false" ht="45" hidden="false" customHeight="true" outlineLevel="0" collapsed="false">
      <c r="A18" s="25" t="s">
        <v>110</v>
      </c>
      <c r="B18" s="25"/>
    </row>
    <row r="19" customFormat="false" ht="30" hidden="false" customHeight="true" outlineLevel="0" collapsed="false">
      <c r="A19" s="25" t="s">
        <v>111</v>
      </c>
      <c r="B19" s="25"/>
    </row>
    <row r="20" customFormat="false" ht="45" hidden="false" customHeight="true" outlineLevel="0" collapsed="false">
      <c r="A20" s="25" t="s">
        <v>112</v>
      </c>
      <c r="B20" s="25"/>
    </row>
    <row r="22" customFormat="false" ht="15" hidden="false" customHeight="false" outlineLevel="0" collapsed="false">
      <c r="A22" s="23" t="s">
        <v>113</v>
      </c>
      <c r="B22" s="24"/>
    </row>
    <row r="23" customFormat="false" ht="60" hidden="false" customHeight="true" outlineLevel="0" collapsed="false">
      <c r="A23" s="25" t="s">
        <v>114</v>
      </c>
      <c r="B23" s="25"/>
    </row>
    <row r="24" customFormat="false" ht="30" hidden="false" customHeight="true" outlineLevel="0" collapsed="false">
      <c r="A24" s="25" t="s">
        <v>115</v>
      </c>
      <c r="B24" s="25"/>
    </row>
    <row r="26" customFormat="false" ht="15" hidden="false" customHeight="false" outlineLevel="0" collapsed="false">
      <c r="A26" s="23" t="s">
        <v>116</v>
      </c>
      <c r="B26" s="24"/>
    </row>
    <row r="27" customFormat="false" ht="90" hidden="false" customHeight="true" outlineLevel="0" collapsed="false">
      <c r="A27" s="25" t="s">
        <v>117</v>
      </c>
      <c r="B27" s="25"/>
    </row>
    <row r="28" customFormat="false" ht="75" hidden="false" customHeight="true" outlineLevel="0" collapsed="false">
      <c r="A28" s="25" t="s">
        <v>118</v>
      </c>
      <c r="B28" s="25"/>
    </row>
    <row r="29" customFormat="false" ht="90" hidden="false" customHeight="true" outlineLevel="0" collapsed="false">
      <c r="A29" s="25" t="s">
        <v>119</v>
      </c>
      <c r="B29" s="25"/>
    </row>
    <row r="30" customFormat="false" ht="30" hidden="false" customHeight="true" outlineLevel="0" collapsed="false">
      <c r="A30" s="25" t="s">
        <v>120</v>
      </c>
      <c r="B30" s="25"/>
    </row>
    <row r="32" customFormat="false" ht="15" hidden="false" customHeight="false" outlineLevel="0" collapsed="false">
      <c r="A32" s="23" t="s">
        <v>121</v>
      </c>
      <c r="B32" s="24"/>
    </row>
    <row r="33" customFormat="false" ht="30" hidden="false" customHeight="true" outlineLevel="0" collapsed="false">
      <c r="A33" s="25" t="s">
        <v>122</v>
      </c>
      <c r="B33" s="25"/>
    </row>
    <row r="34" customFormat="false" ht="30" hidden="false" customHeight="true" outlineLevel="0" collapsed="false">
      <c r="A34" s="25" t="s">
        <v>123</v>
      </c>
      <c r="B34" s="25"/>
    </row>
    <row r="35" customFormat="false" ht="30" hidden="false" customHeight="true" outlineLevel="0" collapsed="false">
      <c r="A35" s="25" t="s">
        <v>124</v>
      </c>
      <c r="B35" s="25"/>
    </row>
    <row r="36" customFormat="false" ht="30" hidden="false" customHeight="true" outlineLevel="0" collapsed="false">
      <c r="A36" s="25" t="s">
        <v>125</v>
      </c>
      <c r="B36" s="25"/>
    </row>
    <row r="38" customFormat="false" ht="15" hidden="false" customHeight="false" outlineLevel="0" collapsed="false">
      <c r="A38" s="23" t="s">
        <v>126</v>
      </c>
      <c r="B38" s="24"/>
    </row>
    <row r="39" customFormat="false" ht="45" hidden="false" customHeight="true" outlineLevel="0" collapsed="false">
      <c r="A39" s="25" t="s">
        <v>127</v>
      </c>
      <c r="B39" s="25"/>
    </row>
    <row r="40" customFormat="false" ht="30" hidden="false" customHeight="true" outlineLevel="0" collapsed="false">
      <c r="A40" s="25" t="s">
        <v>128</v>
      </c>
      <c r="B40" s="25"/>
    </row>
    <row r="41" customFormat="false" ht="30" hidden="false" customHeight="true" outlineLevel="0" collapsed="false">
      <c r="A41" s="25" t="s">
        <v>129</v>
      </c>
      <c r="B41" s="25"/>
    </row>
    <row r="42" customFormat="false" ht="30" hidden="false" customHeight="true" outlineLevel="0" collapsed="false">
      <c r="A42" s="25" t="s">
        <v>130</v>
      </c>
      <c r="B42" s="25"/>
    </row>
    <row r="43" customFormat="false" ht="30" hidden="false" customHeight="true" outlineLevel="0" collapsed="false">
      <c r="A43" s="25" t="s">
        <v>131</v>
      </c>
      <c r="B43" s="25"/>
    </row>
    <row r="45" customFormat="false" ht="15" hidden="false" customHeight="false" outlineLevel="0" collapsed="false">
      <c r="A45" s="23" t="s">
        <v>132</v>
      </c>
      <c r="B45" s="24"/>
    </row>
    <row r="46" customFormat="false" ht="45" hidden="false" customHeight="true" outlineLevel="0" collapsed="false">
      <c r="A46" s="25" t="s">
        <v>133</v>
      </c>
      <c r="B46" s="25"/>
    </row>
    <row r="48" customFormat="false" ht="15" hidden="false" customHeight="false" outlineLevel="0" collapsed="false">
      <c r="A48" s="23" t="s">
        <v>134</v>
      </c>
      <c r="B48" s="24"/>
    </row>
    <row r="49" customFormat="false" ht="30" hidden="false" customHeight="true" outlineLevel="0" collapsed="false">
      <c r="A49" s="25" t="s">
        <v>135</v>
      </c>
      <c r="B49" s="25"/>
    </row>
    <row r="50" customFormat="false" ht="30" hidden="false" customHeight="true" outlineLevel="0" collapsed="false">
      <c r="A50" s="25" t="s">
        <v>136</v>
      </c>
      <c r="B50" s="25"/>
    </row>
    <row r="51" customFormat="false" ht="30" hidden="false" customHeight="true" outlineLevel="0" collapsed="false">
      <c r="A51" s="25" t="s">
        <v>137</v>
      </c>
      <c r="B51" s="25"/>
    </row>
    <row r="52" customFormat="false" ht="30" hidden="false" customHeight="true" outlineLevel="0" collapsed="false">
      <c r="A52" s="25" t="s">
        <v>138</v>
      </c>
      <c r="B52" s="25"/>
    </row>
    <row r="54" customFormat="false" ht="15" hidden="false" customHeight="false" outlineLevel="0" collapsed="false">
      <c r="A54" s="23" t="s">
        <v>139</v>
      </c>
      <c r="B54" s="24"/>
    </row>
    <row r="55" customFormat="false" ht="30" hidden="false" customHeight="true" outlineLevel="0" collapsed="false">
      <c r="A55" s="25" t="s">
        <v>140</v>
      </c>
      <c r="B55" s="25"/>
    </row>
    <row r="56" customFormat="false" ht="30" hidden="false" customHeight="true" outlineLevel="0" collapsed="false">
      <c r="A56" s="25" t="s">
        <v>141</v>
      </c>
      <c r="B56" s="25"/>
    </row>
    <row r="57" customFormat="false" ht="15" hidden="false" customHeight="true" outlineLevel="0" collapsed="false">
      <c r="A57" s="25" t="s">
        <v>142</v>
      </c>
      <c r="B57" s="25"/>
    </row>
    <row r="58" customFormat="false" ht="30" hidden="false" customHeight="true" outlineLevel="0" collapsed="false">
      <c r="A58" s="25" t="s">
        <v>143</v>
      </c>
      <c r="B58" s="25"/>
    </row>
    <row r="59" customFormat="false" ht="30" hidden="false" customHeight="true" outlineLevel="0" collapsed="false">
      <c r="A59" s="25" t="s">
        <v>144</v>
      </c>
      <c r="B59" s="25"/>
    </row>
    <row r="60" customFormat="false" ht="30" hidden="false" customHeight="true" outlineLevel="0" collapsed="false">
      <c r="A60" s="25" t="s">
        <v>145</v>
      </c>
      <c r="B60" s="25"/>
    </row>
  </sheetData>
  <mergeCells count="38">
    <mergeCell ref="A5:B5"/>
    <mergeCell ref="A6:B6"/>
    <mergeCell ref="A9:B9"/>
    <mergeCell ref="A10:B10"/>
    <mergeCell ref="A11:B11"/>
    <mergeCell ref="A12:B12"/>
    <mergeCell ref="A13:B13"/>
    <mergeCell ref="A16:B16"/>
    <mergeCell ref="A17:B17"/>
    <mergeCell ref="A18:B18"/>
    <mergeCell ref="A19:B19"/>
    <mergeCell ref="A20:B20"/>
    <mergeCell ref="A23:B23"/>
    <mergeCell ref="A24:B24"/>
    <mergeCell ref="A27:B27"/>
    <mergeCell ref="A28:B28"/>
    <mergeCell ref="A29:B29"/>
    <mergeCell ref="A30:B30"/>
    <mergeCell ref="A33:B33"/>
    <mergeCell ref="A34:B34"/>
    <mergeCell ref="A35:B35"/>
    <mergeCell ref="A36:B36"/>
    <mergeCell ref="A39:B39"/>
    <mergeCell ref="A40:B40"/>
    <mergeCell ref="A41:B41"/>
    <mergeCell ref="A42:B42"/>
    <mergeCell ref="A43:B43"/>
    <mergeCell ref="A46:B46"/>
    <mergeCell ref="A49:B49"/>
    <mergeCell ref="A50:B50"/>
    <mergeCell ref="A51:B51"/>
    <mergeCell ref="A52:B52"/>
    <mergeCell ref="A55:B55"/>
    <mergeCell ref="A56:B56"/>
    <mergeCell ref="A57:B57"/>
    <mergeCell ref="A58:B58"/>
    <mergeCell ref="A59:B59"/>
    <mergeCell ref="A60:B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146</v>
      </c>
    </row>
    <row r="3" customFormat="false" ht="15" hidden="false" customHeight="false" outlineLevel="0" collapsed="false">
      <c r="A3" s="26" t="s">
        <v>147</v>
      </c>
    </row>
    <row r="5" customFormat="false" ht="15" hidden="false" customHeight="false" outlineLevel="0" collapsed="false">
      <c r="A5" s="27" t="s">
        <v>148</v>
      </c>
      <c r="B5" s="28" t="s">
        <v>149</v>
      </c>
      <c r="C5" s="28" t="s">
        <v>150</v>
      </c>
      <c r="D5" s="28" t="s">
        <v>151</v>
      </c>
      <c r="E5" s="28" t="s">
        <v>152</v>
      </c>
    </row>
    <row r="6" customFormat="false" ht="15" hidden="false" customHeight="false" outlineLevel="0" collapsed="false">
      <c r="A6" s="23" t="s">
        <v>153</v>
      </c>
      <c r="B6" s="24"/>
      <c r="C6" s="24"/>
      <c r="D6" s="24"/>
      <c r="E6" s="24"/>
    </row>
    <row r="7" customFormat="false" ht="15" hidden="false" customHeight="false" outlineLevel="0" collapsed="false">
      <c r="A7" s="29" t="s">
        <v>154</v>
      </c>
      <c r="B7" s="15" t="s">
        <v>155</v>
      </c>
      <c r="C7" s="30" t="n">
        <f aca="false">SUMPRODUCT(ABS(BS!$E$36:$AB$36))</f>
        <v>0</v>
      </c>
      <c r="D7" s="31" t="n">
        <v>0.5</v>
      </c>
      <c r="E7" s="32" t="str">
        <f aca="false">IF(ABS(C7)&lt;=D7,"OK","CHECK")</f>
        <v>OK</v>
      </c>
    </row>
    <row r="8" customFormat="false" ht="15" hidden="false" customHeight="false" outlineLevel="0" collapsed="false">
      <c r="A8" s="29" t="s">
        <v>156</v>
      </c>
      <c r="B8" s="15" t="s">
        <v>157</v>
      </c>
      <c r="C8" s="30" t="n">
        <f aca="false">SUMPRODUCT(ABS(CF!$E$58:$AB$58))</f>
        <v>0</v>
      </c>
      <c r="D8" s="31" t="n">
        <v>0.5</v>
      </c>
      <c r="E8" s="32" t="str">
        <f aca="false">IF(ABS(C8)&lt;=D8,"OK","CHECK")</f>
        <v>OK</v>
      </c>
    </row>
    <row r="9" customFormat="false" ht="15" hidden="false" customHeight="false" outlineLevel="0" collapsed="false">
      <c r="A9" s="29" t="s">
        <v>158</v>
      </c>
      <c r="B9" s="15" t="s">
        <v>159</v>
      </c>
      <c r="C9" s="30" t="n">
        <f aca="false">SUMPRODUCT(ABS(CF!$E$37:$AB$37-BS!$E$9:$AB$9))</f>
        <v>0</v>
      </c>
      <c r="D9" s="31" t="n">
        <v>0.5</v>
      </c>
      <c r="E9" s="32" t="str">
        <f aca="false">IF(ABS(C9)&lt;=D9,"OK","CHECK")</f>
        <v>OK</v>
      </c>
    </row>
    <row r="10" customFormat="false" ht="15" hidden="false" customHeight="false" outlineLevel="0" collapsed="false">
      <c r="A10" s="29" t="s">
        <v>160</v>
      </c>
      <c r="B10" s="15" t="s">
        <v>161</v>
      </c>
      <c r="C10" s="30" t="n">
        <f aca="false">BS!AB33-(Inputs_Actuals!$C$216+SUM(BS!$E$31:$AB$31)-SUM(BS!$E$32:$AB$32))</f>
        <v>0</v>
      </c>
      <c r="D10" s="31" t="n">
        <v>0.5</v>
      </c>
      <c r="E10" s="32" t="str">
        <f aca="false">IF(ABS(C10)&lt;=D10,"OK","CHECK")</f>
        <v>OK</v>
      </c>
    </row>
    <row r="11" customFormat="false" ht="15" hidden="false" customHeight="false" outlineLevel="0" collapsed="false">
      <c r="A11" s="29" t="s">
        <v>162</v>
      </c>
      <c r="B11" s="15" t="s">
        <v>163</v>
      </c>
      <c r="C11" s="30" t="n">
        <f aca="false">SUMPRODUCT(ABS(CF!$E$13:$AB$13-PL!$E$42:$AB$42))</f>
        <v>0</v>
      </c>
      <c r="D11" s="31" t="n">
        <v>0.5</v>
      </c>
      <c r="E11" s="32" t="str">
        <f aca="false">IF(ABS(C11)&lt;=D11,"OK","CHECK")</f>
        <v>OK</v>
      </c>
    </row>
    <row r="12" customFormat="false" ht="15" hidden="false" customHeight="false" outlineLevel="0" collapsed="false">
      <c r="A12" s="29" t="s">
        <v>164</v>
      </c>
      <c r="B12" s="15" t="s">
        <v>165</v>
      </c>
      <c r="C12" s="30" t="n">
        <f aca="false">(Inputs_Actuals!$C$198+(SUM(Client_Register!$J$7:$J$20)-Inputs_Actuals!$C$211)+SUMPRODUCT((Engagement_Register!$X$7:$X$39&gt;0)*Engagement_Register!$X$7:$X$39)+Inputs_Actuals!$C$199+Inputs_Actuals!$C$200-Inputs_Actuals!$C$201+Inputs_Actuals!$C$202-Inputs_Actuals!$C$203)-(Inputs_Actuals!$C$204+Inputs_Actuals!$C$205+Inputs_Actuals!$C$206+Inputs_Actuals!$C$207+(Inputs_Actuals!$C$208+Inputs_Actuals!$C$209-Assumptions!$C$21)+SUMPRODUCT((Engagement_Register!$X$7:$X$39&lt;0)*(-Engagement_Register!$X$7:$X$39))+Inputs_Actuals!$C$210+Inputs_Actuals!$C$213+Inputs_Actuals!$C$214+Inputs_Actuals!$C$212)-Inputs_Actuals!$C$215-Inputs_Actuals!$C$216</f>
        <v>0</v>
      </c>
      <c r="D12" s="31" t="n">
        <v>0.5</v>
      </c>
      <c r="E12" s="32" t="str">
        <f aca="false">IF(ABS(C12)&lt;=D12,"OK","CHECK")</f>
        <v>OK</v>
      </c>
    </row>
    <row r="13" customFormat="false" ht="15" hidden="false" customHeight="false" outlineLevel="0" collapsed="false">
      <c r="A13" s="23" t="s">
        <v>166</v>
      </c>
      <c r="B13" s="24"/>
      <c r="C13" s="24"/>
      <c r="D13" s="24"/>
      <c r="E13" s="24"/>
    </row>
    <row r="14" customFormat="false" ht="15" hidden="false" customHeight="false" outlineLevel="0" collapsed="false">
      <c r="A14" s="29" t="s">
        <v>167</v>
      </c>
      <c r="B14" s="15" t="s">
        <v>168</v>
      </c>
      <c r="C14" s="30" t="n">
        <f aca="false">SUMPRODUCT(ABS(Engagements!$E$72:$AB$72))+SUMPRODUCT(ABS(Engagements!$E$101:$AB$101))+SUMPRODUCT(ABS(Engagements!$E$117:$AB$117))+SUMPRODUCT(ABS(Engagements!$E$146:$AB$146))+SUMPRODUCT(ABS(Engagements!$E$175:$AB$175))+SUMPRODUCT(ABS(Engagements!$E$193:$AB$193))+SUMPRODUCT(ABS(Engagements!$E$209:$AB$209))+SUMPRODUCT(ABS(Engagements!$E$238:$AB$238))+SUMPRODUCT(ABS(Engagements!$E$256:$AB$256))+SUMPRODUCT(ABS(Engagements!$E$272:$AB$272))+SUMPRODUCT(ABS(Engagements!$E$288:$AB$288))</f>
        <v>0</v>
      </c>
      <c r="D14" s="31" t="n">
        <v>0.5</v>
      </c>
      <c r="E14" s="32" t="str">
        <f aca="false">IF(ABS(C14)&lt;=D14,"OK","CHECK")</f>
        <v>OK</v>
      </c>
    </row>
    <row r="15" customFormat="false" ht="15" hidden="false" customHeight="false" outlineLevel="0" collapsed="false">
      <c r="A15" s="29" t="s">
        <v>169</v>
      </c>
      <c r="B15" s="15" t="s">
        <v>170</v>
      </c>
      <c r="C15" s="30" t="n">
        <f aca="false">SUMPRODUCT(ABS(Capacity!$E$166:$AB$166-Engagements!$E$596:$AB$596))</f>
        <v>0</v>
      </c>
      <c r="D15" s="31" t="n">
        <v>0.5</v>
      </c>
      <c r="E15" s="32" t="str">
        <f aca="false">IF(ABS(C15)&lt;=D15,"OK","CHECK")</f>
        <v>OK</v>
      </c>
    </row>
    <row r="16" customFormat="false" ht="15" hidden="false" customHeight="false" outlineLevel="0" collapsed="false">
      <c r="A16" s="29" t="s">
        <v>171</v>
      </c>
      <c r="B16" s="15" t="s">
        <v>172</v>
      </c>
      <c r="C16" s="33" t="n">
        <f aca="false">ABS(Assumptions!$H$111)+ABS(Assumptions!$H$112)+ABS(Assumptions!$H$113)</f>
        <v>0</v>
      </c>
      <c r="D16" s="31" t="n">
        <v>1E-006</v>
      </c>
      <c r="E16" s="32" t="str">
        <f aca="false">IF(ABS(C16)&lt;=D16,"OK","CHECK")</f>
        <v>OK</v>
      </c>
    </row>
    <row r="17" customFormat="false" ht="15" hidden="false" customHeight="false" outlineLevel="0" collapsed="false">
      <c r="A17" s="29" t="s">
        <v>173</v>
      </c>
      <c r="B17" s="15" t="s">
        <v>174</v>
      </c>
      <c r="C17" s="33" t="n">
        <f aca="false">ROUND(Assumptions!$C$146+Assumptions!$C$147+Assumptions!$C$148-1,6)</f>
        <v>0</v>
      </c>
      <c r="D17" s="31" t="n">
        <v>1E-006</v>
      </c>
      <c r="E17" s="32" t="str">
        <f aca="false">IF(ABS(C17)&lt;=D17,"OK","CHECK")</f>
        <v>OK</v>
      </c>
    </row>
    <row r="18" customFormat="false" ht="15" hidden="false" customHeight="false" outlineLevel="0" collapsed="false">
      <c r="A18" s="29" t="s">
        <v>175</v>
      </c>
      <c r="B18" s="15" t="s">
        <v>176</v>
      </c>
      <c r="C18" s="33" t="n">
        <f aca="false">MAX(0,MAX(MAX(Engagements!$E$59:$AB$59),MAX(Engagements!$E$90:$AB$90),MAX(Engagements!$E$106:$AB$106),MAX(Engagements!$E$135:$AB$135),MAX(Engagements!$E$164:$AB$164),MAX(Engagements!$E$180:$AB$180),MAX(Engagements!$E$198:$AB$198),MAX(Engagements!$E$227:$AB$227),MAX(Engagements!$E$243:$AB$243),MAX(Engagements!$E$261:$AB$261),MAX(Engagements!$E$277:$AB$277),MAX(Engagements!$E$306:$AB$306),MAX(Engagements!$E$336:$AB$336),MAX(Engagements!$E$351:$AB$351),MAX(Engagements!$E$405:$AB$405),MAX(Engagements!$E$422:$AB$422),MAX(Engagements!$E$450:$AB$450),MAX(Engagements!$E$465:$AB$465),MAX(Engagements!$E$506:$AB$506),MAX(Engagements!$E$521:$AB$521))-1)+MAX(0,-MIN(MIN(Engagements!$E$59:$AB$59),MIN(Engagements!$E$90:$AB$90),MIN(Engagements!$E$106:$AB$106),MIN(Engagements!$E$135:$AB$135),MIN(Engagements!$E$164:$AB$164),MIN(Engagements!$E$180:$AB$180),MIN(Engagements!$E$198:$AB$198),MIN(Engagements!$E$227:$AB$227),MIN(Engagements!$E$243:$AB$243),MIN(Engagements!$E$261:$AB$261),MIN(Engagements!$E$277:$AB$277),MIN(Engagements!$E$306:$AB$306),MIN(Engagements!$E$336:$AB$336),MIN(Engagements!$E$351:$AB$351),MIN(Engagements!$E$405:$AB$405),MIN(Engagements!$E$422:$AB$422),MIN(Engagements!$E$450:$AB$450),MIN(Engagements!$E$465:$AB$465),MIN(Engagements!$E$506:$AB$506),MIN(Engagements!$E$521:$AB$521)))</f>
        <v>0</v>
      </c>
      <c r="D18" s="31" t="n">
        <v>0.0001</v>
      </c>
      <c r="E18" s="32" t="str">
        <f aca="false">IF(ABS(C18)&lt;=D18,"OK","CHECK")</f>
        <v>OK</v>
      </c>
    </row>
    <row r="19" customFormat="false" ht="15" hidden="false" customHeight="false" outlineLevel="0" collapsed="false">
      <c r="A19" s="29" t="s">
        <v>177</v>
      </c>
      <c r="B19" s="15" t="s">
        <v>178</v>
      </c>
      <c r="C19" s="30" t="n">
        <f aca="false">IF(AND(Engagement_Register!$AH$10&lt;=24,Engagement_Register!$AH$10&gt;=1),ABS(INDEX(Engagements!$E$97:$AB$97,MIN(24,MAX(1,Engagement_Register!$AH$10)))-Engagement_Register!$AP$10),0)+IF(AND(Engagement_Register!$AH$11&lt;=24,Engagement_Register!$AH$11&gt;=1),ABS(INDEX(Engagements!$E$113:$AB$113,MIN(24,MAX(1,Engagement_Register!$AH$11)))-Engagement_Register!$AP$11),0)+IF(AND(Engagement_Register!$AH$13&lt;=24,Engagement_Register!$AH$13&gt;=1),ABS(INDEX(Engagements!$E$142:$AB$142,MIN(24,MAX(1,Engagement_Register!$AH$13)))-Engagement_Register!$AP$13),0)+IF(AND(Engagement_Register!$AH$15&lt;=24,Engagement_Register!$AH$15&gt;=1),ABS(INDEX(Engagements!$E$171:$AB$171,MIN(24,MAX(1,Engagement_Register!$AH$15)))-Engagement_Register!$AP$15),0)+IF(AND(Engagement_Register!$AH$17&lt;=24,Engagement_Register!$AH$17&gt;=1),ABS(INDEX(Engagements!$E$205:$AB$205,MIN(24,MAX(1,Engagement_Register!$AH$17)))-Engagement_Register!$AP$17),0)+IF(AND(Engagement_Register!$AH$19&lt;=24,Engagement_Register!$AH$19&gt;=1),ABS(INDEX(Engagements!$E$234:$AB$234,MIN(24,MAX(1,Engagement_Register!$AH$19)))-Engagement_Register!$AP$19),0)+IF(AND(Engagement_Register!$AH$21&lt;=24,Engagement_Register!$AH$21&gt;=1),ABS(INDEX(Engagements!$E$268:$AB$268,MIN(24,MAX(1,Engagement_Register!$AH$21)))-Engagement_Register!$AP$21),0)+IF(AND(Engagement_Register!$AH$22&lt;=24,Engagement_Register!$AH$22&gt;=1),ABS(INDEX(Engagements!$E$284:$AB$284,MIN(24,MAX(1,Engagement_Register!$AH$22)))-Engagement_Register!$AP$22),0)+IF(AND(Engagement_Register!$AH$26&lt;=24,Engagement_Register!$AH$26&gt;=1),ABS(INDEX(Engagements!$E$343:$AB$343,MIN(24,MAX(1,Engagement_Register!$AH$26)))-Engagement_Register!$AP$26),0)+IF(AND(Engagement_Register!$AH$27&lt;=24,Engagement_Register!$AH$27&gt;=1),ABS(INDEX(Engagements!$E$358:$AB$358,MIN(24,MAX(1,Engagement_Register!$AH$27)))-Engagement_Register!$AP$27),0)+IF(AND(Engagement_Register!$AH$32&lt;=24,Engagement_Register!$AH$32&gt;=1),ABS(INDEX(Engagements!$E$429:$AB$429,MIN(24,MAX(1,Engagement_Register!$AH$32)))-Engagement_Register!$AP$32),0)+IF(AND(Engagement_Register!$AH$34&lt;=24,Engagement_Register!$AH$34&gt;=1),ABS(INDEX(Engagements!$E$457:$AB$457,MIN(24,MAX(1,Engagement_Register!$AH$34)))-Engagement_Register!$AP$34),0)+IF(AND(Engagement_Register!$AH$35&lt;=24,Engagement_Register!$AH$35&gt;=1),ABS(INDEX(Engagements!$E$472:$AB$472,MIN(24,MAX(1,Engagement_Register!$AH$35)))-Engagement_Register!$AP$35),0)+IF(AND(Engagement_Register!$AH$38&lt;=24,Engagement_Register!$AH$38&gt;=1),ABS(INDEX(Engagements!$E$513:$AB$513,MIN(24,MAX(1,Engagement_Register!$AH$38)))-Engagement_Register!$AP$38),0)</f>
        <v>0</v>
      </c>
      <c r="D19" s="31" t="n">
        <v>0.5</v>
      </c>
      <c r="E19" s="32" t="str">
        <f aca="false">IF(ABS(C19)&lt;=D19,"OK","CHECK")</f>
        <v>OK</v>
      </c>
    </row>
    <row r="20" customFormat="false" ht="15" hidden="false" customHeight="false" outlineLevel="0" collapsed="false">
      <c r="A20" s="29" t="s">
        <v>179</v>
      </c>
      <c r="B20" s="15" t="s">
        <v>180</v>
      </c>
      <c r="C20" s="30" t="n">
        <f aca="false">MAX(0,MAX(Engagements!$E$66:$AB$66)-Engagement_Register!$AP$8,MAX(Engagements!$E$187:$AB$187)-Engagement_Register!$AP$16,MAX(Engagements!$E$250:$AB$250)-Engagement_Register!$AP$20,MAX(Engagements!$E$313:$AB$313)-Engagement_Register!$AP$24,MAX(Engagements!$E$412:$AB$412)-Engagement_Register!$AP$31,MAX(Engagements!$E$528:$AB$528)-Engagement_Register!$AP$39)</f>
        <v>0</v>
      </c>
      <c r="D20" s="31" t="n">
        <v>0.5</v>
      </c>
      <c r="E20" s="32" t="str">
        <f aca="false">IF(ABS(C20)&lt;=D20,"OK","CHECK")</f>
        <v>OK</v>
      </c>
    </row>
    <row r="21" customFormat="false" ht="15" hidden="false" customHeight="false" outlineLevel="0" collapsed="false">
      <c r="A21" s="29" t="s">
        <v>181</v>
      </c>
      <c r="B21" s="15" t="s">
        <v>182</v>
      </c>
      <c r="C21" s="30" t="n">
        <f aca="false">SUMPRODUCT(ABS(Clients!$E$206:$AB$206-PL!$E$12:$AB$12))</f>
        <v>0</v>
      </c>
      <c r="D21" s="31" t="n">
        <v>0.5</v>
      </c>
      <c r="E21" s="32" t="str">
        <f aca="false">IF(ABS(C21)&lt;=D21,"OK","CHECK")</f>
        <v>OK</v>
      </c>
    </row>
    <row r="22" customFormat="false" ht="15" hidden="false" customHeight="false" outlineLevel="0" collapsed="false">
      <c r="A22" s="29" t="s">
        <v>183</v>
      </c>
      <c r="B22" s="15"/>
      <c r="C22" s="30" t="n">
        <f aca="false">SUMPRODUCT(ABS(Practices!$E$64:$AB$64))</f>
        <v>0</v>
      </c>
      <c r="D22" s="31" t="n">
        <v>0.5</v>
      </c>
      <c r="E22" s="32" t="str">
        <f aca="false">IF(ABS(C22)&lt;=D22,"OK","CHECK")</f>
        <v>OK</v>
      </c>
    </row>
    <row r="23" customFormat="false" ht="15" hidden="false" customHeight="false" outlineLevel="0" collapsed="false">
      <c r="A23" s="29" t="s">
        <v>184</v>
      </c>
      <c r="B23" s="15"/>
      <c r="C23" s="30" t="n">
        <f aca="false">SUMPRODUCT(ABS(Practices!$E$65:$AB$65))</f>
        <v>0</v>
      </c>
      <c r="D23" s="31" t="n">
        <v>0.5</v>
      </c>
      <c r="E23" s="32" t="str">
        <f aca="false">IF(ABS(C23)&lt;=D23,"OK","CHECK")</f>
        <v>OK</v>
      </c>
    </row>
    <row r="24" customFormat="false" ht="15" hidden="false" customHeight="false" outlineLevel="0" collapsed="false">
      <c r="A24" s="29" t="s">
        <v>185</v>
      </c>
      <c r="B24" s="15" t="s">
        <v>186</v>
      </c>
      <c r="C24" s="30" t="n">
        <f aca="false">SUMPRODUCT(ABS(Practices!$E$66:$AB$66))</f>
        <v>0</v>
      </c>
      <c r="D24" s="31" t="n">
        <v>0.5</v>
      </c>
      <c r="E24" s="32" t="str">
        <f aca="false">IF(ABS(C24)&lt;=D24,"OK","CHECK")</f>
        <v>OK</v>
      </c>
    </row>
    <row r="25" customFormat="false" ht="15" hidden="false" customHeight="false" outlineLevel="0" collapsed="false">
      <c r="A25" s="29" t="s">
        <v>187</v>
      </c>
      <c r="B25" s="15" t="s">
        <v>188</v>
      </c>
      <c r="C25" s="30" t="n">
        <f aca="false">SUMPRODUCT(ABS(Time_to_Cash!$E$17:$AB$17))</f>
        <v>0</v>
      </c>
      <c r="D25" s="31" t="n">
        <v>0.5</v>
      </c>
      <c r="E25" s="32" t="str">
        <f aca="false">IF(ABS(C25)&lt;=D25,"OK","CHECK")</f>
        <v>OK</v>
      </c>
    </row>
    <row r="26" customFormat="false" ht="15" hidden="false" customHeight="false" outlineLevel="0" collapsed="false">
      <c r="A26" s="29" t="s">
        <v>189</v>
      </c>
      <c r="B26" s="15" t="s">
        <v>190</v>
      </c>
      <c r="C26" s="30" t="n">
        <f aca="false">SUMPRODUCT(ABS(VAT!$E$26:$AB$26))</f>
        <v>0</v>
      </c>
      <c r="D26" s="31" t="n">
        <v>0.5</v>
      </c>
      <c r="E26" s="32" t="str">
        <f aca="false">IF(ABS(C26)&lt;=D26,"OK","CHECK")</f>
        <v>OK</v>
      </c>
    </row>
    <row r="27" customFormat="false" ht="15" hidden="false" customHeight="false" outlineLevel="0" collapsed="false">
      <c r="A27" s="29" t="s">
        <v>191</v>
      </c>
      <c r="B27" s="15" t="s">
        <v>192</v>
      </c>
      <c r="C27" s="30" t="n">
        <f aca="false">ROUND(Tax!$C$16-MAX(0,Tax!$C$11)*Assumptions!$C$30,0)+ROUND(Tax!$C$22-MAX(0,Tax!$C$11+Tax!$C$13)*Assumptions!$C$31,0)</f>
        <v>0</v>
      </c>
      <c r="D27" s="31" t="n">
        <v>0.5</v>
      </c>
      <c r="E27" s="32" t="str">
        <f aca="false">IF(ABS(C27)&lt;=D27,"OK","CHECK")</f>
        <v>OK</v>
      </c>
    </row>
    <row r="28" customFormat="false" ht="15" hidden="false" customHeight="false" outlineLevel="0" collapsed="false">
      <c r="A28" s="29" t="s">
        <v>193</v>
      </c>
      <c r="B28" s="15"/>
      <c r="C28" s="30" t="n">
        <f aca="false">ROUND(Tax!$D$16-MAX(0,Tax!$D$11)*Assumptions!$C$30,0)+ROUND(Tax!$D$22-MAX(0,Tax!$D$11+Tax!$D$13)*Assumptions!$C$31,0)</f>
        <v>0</v>
      </c>
      <c r="D28" s="31" t="n">
        <v>0.5</v>
      </c>
      <c r="E28" s="32" t="str">
        <f aca="false">IF(ABS(C28)&lt;=D28,"OK","CHECK")</f>
        <v>OK</v>
      </c>
    </row>
    <row r="29" customFormat="false" ht="15" hidden="false" customHeight="false" outlineLevel="0" collapsed="false">
      <c r="A29" s="23" t="s">
        <v>194</v>
      </c>
      <c r="B29" s="24"/>
      <c r="C29" s="24"/>
      <c r="D29" s="24"/>
      <c r="E29" s="24"/>
    </row>
    <row r="30" customFormat="false" ht="15" hidden="false" customHeight="false" outlineLevel="0" collapsed="false">
      <c r="A30" s="29" t="s">
        <v>195</v>
      </c>
      <c r="B30" s="15" t="s">
        <v>196</v>
      </c>
      <c r="C30" s="30" t="n">
        <f aca="false">AR_Aging!H26</f>
        <v>0</v>
      </c>
      <c r="D30" s="31" t="n">
        <v>0.5</v>
      </c>
      <c r="E30" s="32" t="str">
        <f aca="false">IF(ABS(C30)&lt;=D30,"OK","CHECK")</f>
        <v>OK</v>
      </c>
    </row>
    <row r="31" customFormat="false" ht="15" hidden="false" customHeight="false" outlineLevel="0" collapsed="false">
      <c r="A31" s="29" t="s">
        <v>197</v>
      </c>
      <c r="B31" s="15" t="s">
        <v>196</v>
      </c>
      <c r="C31" s="30" t="n">
        <f aca="false">AR_Aging!H27</f>
        <v>0</v>
      </c>
      <c r="D31" s="31" t="n">
        <v>0.5</v>
      </c>
      <c r="E31" s="32" t="str">
        <f aca="false">IF(ABS(C31)&lt;=D31,"OK","CHECK")</f>
        <v>OK</v>
      </c>
    </row>
    <row r="32" customFormat="false" ht="15" hidden="false" customHeight="false" outlineLevel="0" collapsed="false">
      <c r="A32" s="29" t="s">
        <v>198</v>
      </c>
      <c r="B32" s="15" t="s">
        <v>196</v>
      </c>
      <c r="C32" s="30" t="n">
        <f aca="false">AR_Aging!H28</f>
        <v>0</v>
      </c>
      <c r="D32" s="31" t="n">
        <v>0.5</v>
      </c>
      <c r="E32" s="32" t="str">
        <f aca="false">IF(ABS(C32)&lt;=D32,"OK","CHECK")</f>
        <v>OK</v>
      </c>
    </row>
    <row r="33" customFormat="false" ht="15" hidden="false" customHeight="false" outlineLevel="0" collapsed="false">
      <c r="A33" s="29" t="s">
        <v>199</v>
      </c>
      <c r="B33" s="15"/>
      <c r="C33" s="30" t="n">
        <f aca="false">AP_Aging!H20</f>
        <v>-0</v>
      </c>
      <c r="D33" s="31" t="n">
        <v>0.5</v>
      </c>
      <c r="E33" s="32" t="str">
        <f aca="false">IF(ABS(C33)&lt;=D33,"OK","CHECK")</f>
        <v>OK</v>
      </c>
    </row>
    <row r="34" customFormat="false" ht="15" hidden="false" customHeight="false" outlineLevel="0" collapsed="false">
      <c r="A34" s="29" t="s">
        <v>200</v>
      </c>
      <c r="B34" s="15"/>
      <c r="C34" s="30" t="n">
        <f aca="false">AP_Aging!H21</f>
        <v>-0</v>
      </c>
      <c r="D34" s="31" t="n">
        <v>0.5</v>
      </c>
      <c r="E34" s="32" t="str">
        <f aca="false">IF(ABS(C34)&lt;=D34,"OK","CHECK")</f>
        <v>OK</v>
      </c>
    </row>
    <row r="35" customFormat="false" ht="15" hidden="false" customHeight="false" outlineLevel="0" collapsed="false">
      <c r="A35" s="29" t="s">
        <v>201</v>
      </c>
      <c r="B35" s="15"/>
      <c r="C35" s="30" t="n">
        <f aca="false">AP_Aging!H22</f>
        <v>0</v>
      </c>
      <c r="D35" s="31" t="n">
        <v>0.5</v>
      </c>
      <c r="E35" s="32" t="str">
        <f aca="false">IF(ABS(C35)&lt;=D35,"OK","CHECK")</f>
        <v>OK</v>
      </c>
    </row>
    <row r="36" customFormat="false" ht="15" hidden="false" customHeight="false" outlineLevel="0" collapsed="false">
      <c r="A36" s="23" t="s">
        <v>202</v>
      </c>
      <c r="B36" s="24"/>
      <c r="C36" s="24"/>
      <c r="D36" s="24"/>
      <c r="E36" s="24"/>
    </row>
    <row r="37" customFormat="false" ht="15" hidden="false" customHeight="false" outlineLevel="0" collapsed="false">
      <c r="A37" s="29" t="s">
        <v>203</v>
      </c>
      <c r="B37" s="15" t="s">
        <v>204</v>
      </c>
      <c r="C37" s="30" t="n">
        <f aca="false">Cash_13W!C81</f>
        <v>0</v>
      </c>
      <c r="D37" s="31" t="n">
        <v>0.5</v>
      </c>
      <c r="E37" s="32" t="str">
        <f aca="false">IF(ABS(C37)&lt;=D37,"OK","CHECK")</f>
        <v>OK</v>
      </c>
    </row>
    <row r="38" customFormat="false" ht="15" hidden="false" customHeight="false" outlineLevel="0" collapsed="false">
      <c r="A38" s="29" t="s">
        <v>205</v>
      </c>
      <c r="B38" s="15" t="s">
        <v>206</v>
      </c>
      <c r="C38" s="30" t="n">
        <f aca="false">Scenarios!G32</f>
        <v>0</v>
      </c>
      <c r="D38" s="31" t="n">
        <v>0.5</v>
      </c>
      <c r="E38" s="32" t="str">
        <f aca="false">IF(ABS(C38)&lt;=D38,"OK","CHECK")</f>
        <v>OK</v>
      </c>
    </row>
    <row r="39" customFormat="false" ht="15" hidden="false" customHeight="false" outlineLevel="0" collapsed="false">
      <c r="A39" s="29" t="s">
        <v>207</v>
      </c>
      <c r="B39" s="15" t="s">
        <v>208</v>
      </c>
      <c r="C39" s="30" t="n">
        <f aca="false">BvA!J58</f>
        <v>0</v>
      </c>
      <c r="D39" s="31" t="n">
        <v>0.5</v>
      </c>
      <c r="E39" s="32" t="str">
        <f aca="false">IF(ABS(C39)&lt;=D39,"OK","CHECK")</f>
        <v>OK</v>
      </c>
    </row>
    <row r="40" customFormat="false" ht="15" hidden="false" customHeight="false" outlineLevel="0" collapsed="false">
      <c r="A40" s="29" t="s">
        <v>209</v>
      </c>
      <c r="B40" s="15" t="s">
        <v>210</v>
      </c>
      <c r="C40" s="30" t="n">
        <f aca="false">BvA!B72</f>
        <v>0</v>
      </c>
      <c r="D40" s="31" t="n">
        <v>0.5</v>
      </c>
      <c r="E40" s="32" t="str">
        <f aca="false">IF(ABS(C40)&lt;=D40,"OK","CHECK")</f>
        <v>OK</v>
      </c>
    </row>
    <row r="41" customFormat="false" ht="15" hidden="false" customHeight="false" outlineLevel="0" collapsed="false">
      <c r="A41" s="23" t="s">
        <v>211</v>
      </c>
      <c r="B41" s="24"/>
      <c r="C41" s="24"/>
      <c r="D41" s="24"/>
      <c r="E41" s="24"/>
    </row>
    <row r="42" customFormat="false" ht="15" hidden="false" customHeight="false" outlineLevel="0" collapsed="false">
      <c r="A42" s="29" t="s">
        <v>212</v>
      </c>
      <c r="B42" s="15"/>
      <c r="C42" s="33" t="n">
        <f aca="false">MIN(BS!$E$10:$AB$10)</f>
        <v>725796.186781</v>
      </c>
      <c r="D42" s="31" t="n">
        <v>0</v>
      </c>
      <c r="E42" s="32" t="str">
        <f aca="false">IF(C42&gt;=-D42,"OK","CHECK")</f>
        <v>OK</v>
      </c>
    </row>
    <row r="43" customFormat="false" ht="15" hidden="false" customHeight="false" outlineLevel="0" collapsed="false">
      <c r="A43" s="29" t="s">
        <v>213</v>
      </c>
      <c r="B43" s="15"/>
      <c r="C43" s="33" t="n">
        <f aca="false">MIN(Payables!$E$24:$AB$24)</f>
        <v>49978.6987211012</v>
      </c>
      <c r="D43" s="31" t="n">
        <v>0</v>
      </c>
      <c r="E43" s="32" t="str">
        <f aca="false">IF(C43&gt;=-D43,"OK","CHECK")</f>
        <v>OK</v>
      </c>
    </row>
    <row r="44" customFormat="false" ht="15" hidden="false" customHeight="false" outlineLevel="0" collapsed="false">
      <c r="A44" s="29" t="s">
        <v>214</v>
      </c>
      <c r="B44" s="15"/>
      <c r="C44" s="33" t="n">
        <f aca="false">MIN(MIN(Capacity!$E$14:$AB$14),MIN(Capacity!$E$21:$AB$21),MIN(Capacity!$E$28:$AB$28),MIN(Capacity!$E$35:$AB$35),MIN(Capacity!$E$42:$AB$42),MIN(Capacity!$E$57:$AB$57),MIN(Capacity!$E$64:$AB$64),MIN(Capacity!$E$71:$AB$71),MIN(Capacity!$E$78:$AB$78),MIN(Capacity!$E$85:$AB$85),MIN(Capacity!$E$100:$AB$100),MIN(Capacity!$E$107:$AB$107),MIN(Capacity!$E$114:$AB$114),MIN(Capacity!$E$121:$AB$121),MIN(Capacity!$E$128:$AB$128))</f>
        <v>0</v>
      </c>
      <c r="D44" s="31" t="n">
        <v>0.01</v>
      </c>
      <c r="E44" s="32" t="str">
        <f aca="false">IF(C44&gt;=-D44,"OK","CHECK")</f>
        <v>OK</v>
      </c>
    </row>
    <row r="45" customFormat="false" ht="15" hidden="false" customHeight="false" outlineLevel="0" collapsed="false">
      <c r="A45" s="29" t="s">
        <v>215</v>
      </c>
      <c r="B45" s="15"/>
      <c r="C45" s="33" t="n">
        <f aca="false">MIN(MIN(People!$E$40:$AB$40),MIN(People!$E$43:$AB$43),MIN(People!$E$46:$AB$46),MIN(People!$E$49:$AB$49),MIN(People!$E$52:$AB$52),MIN(People!$E$64:$AB$64),MIN(People!$E$67:$AB$67),MIN(People!$E$70:$AB$70),MIN(People!$E$73:$AB$73),MIN(People!$E$76:$AB$76),MIN(People!$E$88:$AB$88),MIN(People!$E$91:$AB$91),MIN(People!$E$94:$AB$94),MIN(People!$E$97:$AB$97),MIN(People!$E$100:$AB$100))</f>
        <v>0.98755201099537</v>
      </c>
      <c r="D45" s="31" t="n">
        <v>0</v>
      </c>
      <c r="E45" s="32" t="str">
        <f aca="false">IF(C45&gt;=-D45,"OK","CHECK")</f>
        <v>OK</v>
      </c>
    </row>
    <row r="46" customFormat="false" ht="15" hidden="false" customHeight="false" outlineLevel="0" collapsed="false">
      <c r="A46" s="29" t="s">
        <v>216</v>
      </c>
      <c r="B46" s="15"/>
      <c r="C46" s="33" t="n">
        <f aca="false">MIN(MIN(Receivables!$E$15:$AB$15),MIN(Receivables!$E$18:$AB$18))</f>
        <v>0</v>
      </c>
      <c r="D46" s="31" t="n">
        <v>0</v>
      </c>
      <c r="E46" s="32" t="str">
        <f aca="false">IF(C46&gt;=-D46,"OK","CHECK")</f>
        <v>OK</v>
      </c>
    </row>
    <row r="47" customFormat="false" ht="15" hidden="false" customHeight="false" outlineLevel="0" collapsed="false">
      <c r="A47" s="29" t="s">
        <v>217</v>
      </c>
      <c r="B47" s="15"/>
      <c r="C47" s="33" t="n">
        <f aca="false">MIN(Fixed_Assets!$E$27:$AB$27)</f>
        <v>235156.444444445</v>
      </c>
      <c r="D47" s="31" t="n">
        <v>0</v>
      </c>
      <c r="E47" s="32" t="str">
        <f aca="false">IF(C47&gt;=-D47,"OK","CHECK")</f>
        <v>OK</v>
      </c>
    </row>
    <row r="48" customFormat="false" ht="15" hidden="false" customHeight="false" outlineLevel="0" collapsed="false">
      <c r="A48" s="29" t="s">
        <v>218</v>
      </c>
      <c r="B48" s="15"/>
      <c r="C48" s="33" t="n">
        <f aca="false">MIN(Financing!$E$11:$AB$11)</f>
        <v>66659</v>
      </c>
      <c r="D48" s="31" t="n">
        <v>0</v>
      </c>
      <c r="E48" s="32" t="str">
        <f aca="false">IF(C48&gt;=-D48,"OK","CHECK")</f>
        <v>OK</v>
      </c>
    </row>
    <row r="49" customFormat="false" ht="15" hidden="false" customHeight="false" outlineLevel="0" collapsed="false">
      <c r="A49" s="29" t="s">
        <v>219</v>
      </c>
      <c r="B49" s="15"/>
      <c r="C49" s="30" t="n">
        <f aca="false">COUNTIF(Assumptions!$E$188:$AB$188,"A")-Assumptions!$C$10</f>
        <v>0</v>
      </c>
      <c r="D49" s="31" t="n">
        <v>0.5</v>
      </c>
      <c r="E49" s="32" t="str">
        <f aca="false">IF(ABS(C49)&lt;=D49,"OK","CHECK")</f>
        <v>OK</v>
      </c>
    </row>
    <row r="51" customFormat="false" ht="15" hidden="false" customHeight="false" outlineLevel="0" collapsed="false">
      <c r="A51" s="34" t="s">
        <v>220</v>
      </c>
      <c r="B51" s="35"/>
      <c r="C51" s="35"/>
      <c r="D51" s="35"/>
      <c r="E51" s="36" t="str">
        <f aca="false">IF(COUNTIF(E6:E49,"CHECK")=0,"OK","CHECK")</f>
        <v>OK</v>
      </c>
    </row>
    <row r="53" customFormat="false" ht="15" hidden="false" customHeight="false" outlineLevel="0" collapsed="false">
      <c r="A53" s="23" t="s">
        <v>221</v>
      </c>
      <c r="B53" s="24"/>
      <c r="C53" s="24"/>
      <c r="D53" s="24"/>
      <c r="E53" s="24"/>
    </row>
    <row r="54" customFormat="false" ht="15" hidden="false" customHeight="false" outlineLevel="0" collapsed="false">
      <c r="A54" s="0" t="s">
        <v>222</v>
      </c>
      <c r="B54" s="15" t="s">
        <v>223</v>
      </c>
      <c r="C54" s="37" t="n">
        <f aca="false">MIN(BS!M9:AB9)</f>
        <v>703862.942306065</v>
      </c>
    </row>
    <row r="55" customFormat="false" ht="15" hidden="false" customHeight="false" outlineLevel="0" collapsed="false">
      <c r="A55" s="0" t="s">
        <v>224</v>
      </c>
      <c r="B55" s="15"/>
      <c r="C55" s="37" t="n">
        <f aca="false">Cash_13W!C69</f>
        <v>692449.363451098</v>
      </c>
    </row>
    <row r="56" customFormat="false" ht="15" hidden="false" customHeight="false" outlineLevel="0" collapsed="false">
      <c r="A56" s="0" t="s">
        <v>225</v>
      </c>
      <c r="B56" s="15" t="s">
        <v>226</v>
      </c>
      <c r="C56" s="38" t="n">
        <f aca="false">MIN(Capacity!M169:AB169)</f>
        <v>0.618726711129359</v>
      </c>
    </row>
    <row r="57" customFormat="false" ht="15" hidden="false" customHeight="false" outlineLevel="0" collapsed="false">
      <c r="A57" s="0" t="s">
        <v>227</v>
      </c>
      <c r="B57" s="15" t="s">
        <v>228</v>
      </c>
      <c r="C57" s="38" t="n">
        <f aca="false">Pipeline!$E$68</f>
        <v>0.194195981399746</v>
      </c>
    </row>
    <row r="58" customFormat="false" ht="15" hidden="false" customHeight="false" outlineLevel="0" collapsed="false">
      <c r="A58" s="0" t="s">
        <v>11</v>
      </c>
      <c r="B58" s="15" t="s">
        <v>229</v>
      </c>
      <c r="C58" s="39" t="n">
        <f aca="false">INDEX(Time_to_Cash!$E$35:$AB$35,Assumptions!$C$10)</f>
        <v>62.0691808703528</v>
      </c>
    </row>
    <row r="59" customFormat="false" ht="15" hidden="false" customHeight="false" outlineLevel="0" collapsed="false">
      <c r="A59" s="0" t="s">
        <v>230</v>
      </c>
      <c r="B59" s="15" t="s">
        <v>231</v>
      </c>
      <c r="C59" s="37" t="n">
        <f aca="false">INDEX(Receivables!$E$11:$AB$11,Assumptions!$C$10)-INDEX(Receivables!$E$15:$AB$15,Assumptions!$C$10)</f>
        <v>6151.81120000003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6"/>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B2" s="22" t="s">
        <v>232</v>
      </c>
    </row>
    <row r="3" customFormat="false" ht="15" hidden="false" customHeight="false" outlineLevel="0" collapsed="false">
      <c r="B3" s="26" t="str">
        <f aca="false">"Reporting month: "&amp;TEXT(Assumptions!$C$9,"mmm-yy")&amp;" actuals, "&amp;Assumptions!$C$12&amp;" scenario for the outlook. Amounts in EUR. Every figure is a live link to the model; the narrative recalculates with the inputs."</f>
        <v>Reporting month: Aug-26 actuals, Base scenario for the outlook. Amounts in EUR. Every figure is a live link to the model; the narrative recalculates with the inputs.</v>
      </c>
    </row>
    <row r="4" customFormat="false" ht="15" hidden="false" customHeight="false" outlineLevel="0" collapsed="false">
      <c r="B4" s="40" t="s">
        <v>233</v>
      </c>
    </row>
    <row r="6" customFormat="false" ht="15" hidden="false" customHeight="false" outlineLevel="0" collapsed="false">
      <c r="B6" s="41" t="s">
        <v>234</v>
      </c>
      <c r="C6" s="42"/>
      <c r="D6" s="42"/>
      <c r="E6" s="42"/>
      <c r="F6" s="42"/>
    </row>
    <row r="7" customFormat="false" ht="70.5" hidden="false" customHeight="true" outlineLevel="0" collapsed="false">
      <c r="B7" s="43" t="str">
        <f aca="false">"Year to date revenue is EUR "&amp;TEXT((BvA!B16)/1000,"#,##0")&amp;"k, "&amp;TEXT((ABS(BvA!E16)),"0.0%")&amp;" "&amp;IF(BvA!D16&lt;0,"below","above")&amp;" budget, and EBITDA is EUR "&amp;TEXT((BvA!B40)/1000,"#,##0")&amp;"k ("&amp;TEXT((BvA!B41),"0.0%")&amp;" of revenue) against EUR "&amp;TEXT((BvA!C40)/1000,"#,##0")&amp;"k ("&amp;TEXT((BvA!C41),"0.0%")&amp;") budgeted. Most of the EUR "&amp;TEXT(ABS(BvA!D40)/1000,"#,##0")&amp;"k gap comes from four places: digital and ERP fee revenue EUR "&amp;TEXT(ABS(BvA!H55)/1000,"#,##0")&amp;"k short on hours not sold, credit losses EUR "&amp;TEXT(ABS(BvA!D38)/1000,"#,##0")&amp;"k over budget on the Pelzhoff insolvency, subcontractors EUR "&amp;TEXT(ABS(BvA!D19)/1000,"#,##0")&amp;"k over, and operations EUR "&amp;TEXT(ABS(BvA!I53)/1000,"#,##0")&amp;"k short on rate, where the Norlach cap alone costs EUR "&amp;TEXT(((SUMIFS(Engagements!$E$61:$AB$61,Assumptions!$E$188:$AB$188,"A")-SUMIFS(Engagements!$E$64:$AB$64,Assumptions!$E$188:$AB$188,"A")))/1000,"#,##0")&amp;"k. Operations hours ahead of budget and the bonus accrued at "&amp;TEXT((Assumptions!$C$92),"0%")&amp;" of target give back EUR "&amp;TEXT((BvA!H53)/1000,"#,##0")&amp;"k and EUR "&amp;TEXT((BvA!D18)/1000,"#,##0")&amp;"k."</f>
        <v>Year to date revenue is EUR 4,704k, 5.6% below budget, and EBITDA is EUR 252k (5.4% of revenue) against EUR 681k (13.7%) budgeted. Most of the EUR 429k gap comes from four places: digital and ERP fee revenue EUR 286k short on hours not sold, credit losses EUR 105k over budget on the Pelzhoff insolvency, subcontractors EUR 81k over, and operations EUR 78k short on rate, where the Norlach cap alone costs EUR 89k. Operations hours ahead of budget and the bonus accrued at 70% of target give back EUR 49k and EUR 77k.</v>
      </c>
    </row>
    <row r="8" customFormat="false" ht="70.5" hidden="false" customHeight="true" outlineLevel="0" collapsed="false">
      <c r="B8" s="43" t="str">
        <f aca="false">"Full-year outlook ("&amp;Assumptions!$C$12&amp;"): revenue EUR "&amp;TEXT((BvA!F16)/1000,"#,##0")&amp;"k, "&amp;TEXT((ABS(BvA!I16)),"0.0%")&amp;" "&amp;IF(BvA!H16&lt;0,"below","above")&amp;" budget, and EBITDA EUR "&amp;TEXT((BvA!F40)/1000,"#,##0")&amp;"k ("&amp;TEXT((BvA!F41),"0.0%")&amp;") against EUR "&amp;TEXT((BvA!G40)/1000,"#,##0")&amp;"k budgeted. That puts September to December fee revenue "&amp;TEXT((ABS((SUM(PL!M12:P12)/SUM(Budget_FY26!M17:P17)-1))),"0.0%")&amp;" "&amp;IF((SUM(PL!M12:P12)/SUM(Budget_FY26!M17:P17)-1)&lt;0,"below","above")&amp;" budget, after eight months "&amp;TEXT((ABS(BvA!E14)),"0.0%")&amp;" "&amp;IF(BvA!D14&lt;0,"below","above")&amp;". The forecast rests on work already signed, "&amp;TEXT(((SUM(Pipeline!M9:P9)/SUM(Pipeline!M13:P13))),"0%")&amp;" of those fees, and on utilisation of "&amp;TEXT(((SUM(Capacity!M167:P167)/SUM(Capacity!M164:P164))),"0%")&amp;" against "&amp;TEXT(((SUM(Capacity!G167:J167)/SUM(Capacity!G164:J164))),"0%")&amp;" in March to June; at the year to date "&amp;TEXT(((SUMIFS(Capacity!$E$167:$AB$167,Assumptions!$E$188:$AB$188,"A")/SUMIFS(Capacity!$E$164:$AB$164,Assumptions!$E$188:$AB$188,"A"))),"0%")&amp;", September to December fees would be about EUR "&amp;TEXT(ABS((((SUM(Capacity!M167:P167)/SUM(Capacity!M164:P164))-(SUMIFS(Capacity!$E$167:$AB$167,Assumptions!$E$188:$AB$188,"A")/SUMIFS(Capacity!$E$164:$AB$164,Assumptions!$E$188:$AB$188,"A")))*SUM(Capacity!M164:P164)*SUM(PL!M12:P12)/(SUM(Capacity!M167:P167)+SUM(Capacity!M168:P168))))/1000,"#,##0")&amp;"k "&amp;IF((((SUM(Capacity!M167:P167)/SUM(Capacity!M164:P164))-(SUMIFS(Capacity!$E$167:$AB$167,Assumptions!$E$188:$AB$188,"A")/SUMIFS(Capacity!$E$164:$AB$164,Assumptions!$E$188:$AB$188,"A")))*SUM(Capacity!M164:P164)*SUM(PL!M12:P12)/(SUM(Capacity!M167:P167)+SUM(Capacity!M168:P168)))&gt;=0,"lower","higher")&amp;". Two graduates and a senior consultant join in September and October, so capacity grows before the 2027 work that has to fill it."</f>
        <v>Full-year outlook (Base): revenue EUR 7,664k, 0.7% below budget, and EBITDA EUR 913k (11.9%) against EUR 1,186k budgeted. That puts September to December fee revenue 7.2% above budget, after eight months 6.4% below. The forecast rests on work already signed, 91% of those fees, and on utilisation of 73% against 74% in March to June; at the year to date 68%, September to December fees would be about EUR 163k lower. Two graduates and a senior consultant join in September and October, so capacity grows before the 2027 work that has to fill it.</v>
      </c>
    </row>
    <row r="9" customFormat="false" ht="70.5" hidden="false" customHeight="true" outlineLevel="0" collapsed="false">
      <c r="B9" s="43" t="str">
        <f aca="false">"Cash is EUR "&amp;TEXT((INDEX(BS!$E$9:$AB$9,Assumptions!$C$10))/1000,"#,##0")&amp;"k at "&amp;TEXT(Assumptions!$C$9,"mmm-yy")&amp;", after the FY2025 bonus (EUR "&amp;TEXT((SUMIFS(People!$E$149:$AB$149,Assumptions!$E$188:$AB$188,"A"))/1000,"#,##0")&amp;"k in March) and the EUR "&amp;TEXT((SUMIFS(Financing!$E$17:$AB$17,Assumptions!$E$188:$AB$188,"A"))/1000,"#,##0")&amp;"k dividend in June, against a buffer of EUR "&amp;TEXT((Assumptions!$C$13)/1000,"#,##0")&amp;"k. The 13-week low is EUR "&amp;TEXT((Cash_13W!C69)/1000,"#,##0")&amp;"k in the week ending "&amp;TEXT(Cash_13W!C70,"dd-mmm")&amp;", "&amp;IF(Cash_13W!C71&gt;=0,"EUR "&amp;TEXT((Cash_13W!C71)/1000,"#,##0")&amp;"k above the buffer with the overdraft undrawn.","EUR "&amp;TEXT(ABS(Cash_13W!C71)/1000,"#,##0")&amp;"k below the buffer: draw the overdraft before that week.")&amp;" The lowest forecast month end is "&amp;IF(Scenarios!F21&lt;0,"an overdrawn EUR "&amp;TEXT(ABS(Scenarios!F21)/1000,"#,##0")&amp;"k","EUR "&amp;TEXT((Scenarios!F21)/1000,"#,##0")&amp;"k")&amp;" in "&amp;TEXT(Scenarios!F22,"mmm-yy")&amp;". Norlach owes EUR "&amp;TEXT((INDEX(Clients!$E$32:$AB$32,Assumptions!$C$10))/1000,"#,##0")&amp;"k through its supplier portal on 60-day terms, including a June invoice now overdue."</f>
        <v>Cash is EUR 711k at Aug-26, after the FY2025 bonus (EUR 392k in March) and the EUR 450k dividend in June, against a buffer of EUR 600k. The 13-week low is EUR 692k in the week ending 30-Oct, EUR 92k above the buffer with the overdraft undrawn. The lowest forecast month end is EUR 704k in Oct-26. Norlach owes EUR 192k through its supplier portal on 60-day terms, including a June invoice now overdue.</v>
      </c>
    </row>
    <row r="10" customFormat="false" ht="111" hidden="false" customHeight="true" outlineLevel="0" collapsed="false">
      <c r="B10" s="43" t="str">
        <f aca="false">"FY2027 "&amp;Assumptions!$C$12&amp;": revenue EUR "&amp;TEXT((PL!$D$14)/1000,"#,##0")&amp;"k ("&amp;IF((PL!$D$14/PL!$C$14-1)&gt;=0,TEXT((PL!$D$14/PL!$C$14-1),"0.0%")&amp;" growth",TEXT(ABS((PL!$D$14/PL!$C$14-1)),"0.0%")&amp;" decline")&amp;"), "&amp;IF(PL!$D$42&lt;0,"an EBITDA loss of EUR "&amp;TEXT(ABS(PL!$D$42)/1000,"#,##0")&amp;"k","EBITDA of EUR "&amp;TEXT((PL!$D$42)/1000,"#,##0")&amp;"k")&amp;" ("&amp;TEXT((ABS(PL!$D$43)),"0.0%")&amp;" of revenue). Only "&amp;TEXT((1-Scenarios!F28),"0%")&amp;" of FY2027 fee revenue is signed. The named pipeline adds EUR "&amp;TEXT((Pipeline!$D$10)/1000,"#,##0")&amp;"k at its win rates and the plan needs EUR "&amp;TEXT((Pipeline!$D$11)/1000,"#,##0")&amp;"k of new work not yet identified, against an annualised EUR "&amp;TEXT(((Pipeline!E39*12/Assumptions!$C$10))/1000,"#,##0")&amp;"k of wins so far in FY2026, and wins take months to turn into revenue. Eberstal, "&amp;TEXT((Pipeline!E50),"0%")&amp;" of FY2026 revenue, ends its S/4HANA programme office at the go-live in March 2027; the wave 2 proposal (EUR "&amp;TEXT((Engagement_Register!$J$30)/1000,"#,##0")&amp;"k at "&amp;TEXT((Engagement_Register!$S$30),"0%")&amp;") is the largest single swing in the year. "&amp;IF(Assumptions!$C$11=2,"This case already carries the response: a hiring freeze, "&amp;TEXT((Assumptions!$D$177),"0")&amp;" separations and no dividend.","The Downside turns FY2027 into "&amp;IF(Scenarios!D16&lt;0,"an EBITDA loss of EUR "&amp;TEXT(ABS(Scenarios!D16)/1000,"#,##0")&amp;"k","EBITDA of EUR "&amp;TEXT((Scenarios!D16)/1000,"#,##0")&amp;"k")&amp;" and takes cash to "&amp;IF(Scenarios!D21&lt;0,"an overdraft of EUR "&amp;TEXT(ABS(Scenarios!D21)/1000,"#,##0")&amp;"k at the low point","a low of EUR "&amp;TEXT((Scenarios!D21)/1000,"#,##0")&amp;"k")&amp;", with a hiring freeze, "&amp;TEXT((Assumptions!$D$177),"0")&amp;" separations and no dividend already in it.")</f>
        <v>FY2027 Base: revenue EUR 8,139k (6.2% growth), EBITDA of EUR 982k (12.1% of revenue). Only 14% of FY2027 fee revenue is signed. The named pipeline adds EUR 2,322k at its win rates and the plan needs EUR 4,293k of new work not yet identified, against an annualised EUR 4,035k of wins so far in FY2026, and wins take months to turn into revenue. Eberstal, 26% of FY2026 revenue, ends its S/4HANA programme office at the go-live in March 2027; the wave 2 proposal (EUR 1,277k at 65%) is the largest single swing in the year. The Downside turns FY2027 into an EBITDA loss of EUR 459k and takes cash to a low of EUR 253k, with a hiring freeze, 5 separations and no dividend already in it.</v>
      </c>
    </row>
    <row r="11" customFormat="false" ht="15" hidden="false" customHeight="false" outlineLevel="0" collapsed="false">
      <c r="B11" s="41" t="s">
        <v>235</v>
      </c>
      <c r="C11" s="42"/>
      <c r="D11" s="42"/>
      <c r="E11" s="42"/>
      <c r="F11" s="42"/>
    </row>
    <row r="12" customFormat="false" ht="84" hidden="false" customHeight="true" outlineLevel="0" collapsed="false">
      <c r="B12" s="43" t="str">
        <f aca="false">"Revenue bridge against budget: operations "&amp;IF(BvA!H53&gt;=0,"EUR "&amp;TEXT((BvA!H53)/1000,"#,##0")&amp;"k more","EUR "&amp;TEXT(ABS(BvA!H53)/1000,"#,##0")&amp;"k less")&amp;" from hours and "&amp;IF(BvA!I53&gt;=0,"EUR "&amp;TEXT((BvA!I53)/1000,"#,##0")&amp;"k more","EUR "&amp;TEXT(ABS(BvA!I53)/1000,"#,##0")&amp;"k less")&amp;" from rate, where the Norlach cap alone costs EUR "&amp;TEXT(((SUMIFS(Engagements!$E$61:$AB$61,Assumptions!$E$188:$AB$188,"A")-SUMIFS(Engagements!$E$64:$AB$64,Assumptions!$E$188:$AB$188,"A")))/1000,"#,##0")&amp;"k; finance "&amp;IF(BvA!H54&gt;=0,"EUR "&amp;TEXT((BvA!H54)/1000,"#,##0")&amp;"k more","EUR "&amp;TEXT(ABS(BvA!H54)/1000,"#,##0")&amp;"k less")&amp;" from hours and "&amp;IF(BvA!I54&gt;=0,"EUR "&amp;TEXT((BvA!I54)/1000,"#,##0")&amp;"k more","EUR "&amp;TEXT(ABS(BvA!I54)/1000,"#,##0")&amp;"k less")&amp;" from rate; digital and ERP "&amp;IF(BvA!H55&gt;=0,"EUR "&amp;TEXT((BvA!H55)/1000,"#,##0")&amp;"k more","EUR "&amp;TEXT(ABS(BvA!H55)/1000,"#,##0")&amp;"k less")&amp;" from hours and "&amp;IF(BvA!I55&gt;=0,"EUR "&amp;TEXT((BvA!I55)/1000,"#,##0")&amp;"k more","EUR "&amp;TEXT(ABS(BvA!I55)/1000,"#,##0")&amp;"k less")&amp;" from rate. Outside the Eberstal programme office, digital sold too little in the first half: no new digital engagement started between the Varnholt platform in March and the Sauerbeck assessment in July. Travel rebilled at cost brought "&amp;IF(BvA!J56&gt;=0,"EUR "&amp;TEXT((BvA!J56)/1000,"#,##0")&amp;"k more","EUR "&amp;TEXT(ABS(BvA!J56)/1000,"#,##0")&amp;"k less")&amp;" than budget."</f>
        <v>Revenue bridge against budget: operations EUR 49k more from hours and EUR 78k less from rate, where the Norlach cap alone costs EUR 89k; finance EUR 1k less from hours and EUR 20k more from rate; digital and ERP EUR 286k less from hours and EUR 9k less from rate. Outside the Eberstal programme office, digital sold too little in the first half: no new digital engagement started between the Varnholt platform in March and the Sauerbeck assessment in July. Travel rebilled at cost brought EUR 24k more than budget.</v>
      </c>
    </row>
    <row r="13" customFormat="false" ht="84" hidden="false" customHeight="true" outlineLevel="0" collapsed="false">
      <c r="B13" s="43" t="str">
        <f aca="false">"Costs: fee-earner pay and social security are EUR "&amp;TEXT(ABS(BvA!D17)/1000,"#,##0")&amp;"k "&amp;IF(BvA!D17&gt;=0,"better","worse")&amp;" than budget: a finance manager joined in February and consultants in March and May against one hire budgeted from March, partly offset by senior consultant vacancies in operations from April to June and in digital since July. The bonus"&amp;" accrued at "&amp;TEXT((Assumptions!$C$92),"0%")&amp;" of target is EUR "&amp;TEXT(ABS(BvA!D18)/1000,"#,##0")&amp;"k below budget. Subcontractors are EUR "&amp;TEXT(ABS(BvA!D19)/1000,"#,##0")&amp;"k over: operations and finance bought in help for the April to June peak, when operations also carried a vacancy, and digital covered its June leaver. Recruitment is EUR "&amp;TEXT(ABS(BvA!D30)/1000,"#,##0")&amp;"k over on agency fees for the February and July hires, which the budget did not have. The Pelzhoff provision cost EUR "&amp;TEXT((SUMIFS(Receivables!$E$14:$AB$14,Assumptions!$E$188:$AB$188,"A"))/1000,"#,##0")&amp;"k after the VAT correction."</f>
        <v>Costs: fee-earner pay and social security are EUR 23k worse than budget: a finance manager joined in February and consultants in March and May against one hire budgeted from March, partly offset by senior consultant vacancies in operations from April to June and in digital since July. The bonus accrued at 70% of target is EUR 77k below budget. Subcontractors are EUR 81k over: operations and finance bought in help for the April to June peak, when operations also carried a vacancy, and digital covered its June leaver. Recruitment is EUR 32k over on agency fees for the February and July hires, which the budget did not have. The Pelzhoff provision cost EUR 117k after the VAT correction.</v>
      </c>
    </row>
    <row r="14" customFormat="false" ht="15" hidden="false" customHeight="false" outlineLevel="0" collapsed="false">
      <c r="B14" s="41" t="s">
        <v>236</v>
      </c>
      <c r="C14" s="42"/>
      <c r="D14" s="42"/>
      <c r="E14" s="42"/>
      <c r="F14" s="42"/>
    </row>
    <row r="15" customFormat="false" ht="57" hidden="false" customHeight="true" outlineLevel="0" collapsed="false">
      <c r="B15" s="43" t="str">
        <f aca="false">"From time recorded to revenue, year to date: standard value at the rate card EUR "&amp;TEXT((SUMIFS(Time_to_Cash!$E$10:$AB$10,Assumptions!$E$188:$AB$188,"A"))/1000,"#,##0")&amp;"k; client discounts EUR "&amp;TEXT(ABS(SUMIFS(Time_to_Cash!$E$11:$AB$11,Assumptions!$E$188:$AB$188,"A"))/1000,"#,##0")&amp;"k; time and materials written down at billing EUR "&amp;TEXT(ABS(SUMIFS(Time_to_Cash!$E$13:$AB$13,Assumptions!$E$188:$AB$188,"A"))/1000,"#,##0")&amp;"k; fixed-fee overruns EUR "&amp;TEXT(ABS(SUMIFS(Time_to_Cash!$E$14:$AB$14,Assumptions!$E$188:$AB$188,"A"))/1000,"#,##0")&amp;"k; value above caps EUR "&amp;TEXT(ABS(SUMIFS(Time_to_Cash!$E$15:$AB$15,Assumptions!$E$188:$AB$188,"A"))/1000,"#,##0")&amp;"k; fee revenue EUR "&amp;TEXT((SUMIFS(Time_to_Cash!$E$16:$AB$16,Assumptions!$E$188:$AB$188,"A"))/1000,"#,##0")&amp;"k, a realisation of "&amp;TEXT(((SUMIFS(Time_to_Cash!$E$16:$AB$16,Assumptions!$E$188:$AB$188,"A")/SUMIFS(Time_to_Cash!$E$10:$AB$10,Assumptions!$E$188:$AB$188,"A"))),"0.0%")&amp;" of the rate card. The Norlach phase 2 cap accounts for EUR "&amp;TEXT(((SUMIFS(Engagements!$E$61:$AB$61,Assumptions!$E$188:$AB$188,"A")-SUMIFS(Engagements!$E$64:$AB$64,Assumptions!$E$188:$AB$188,"A")))/1000,"#,##0")&amp;"k: the programme is forecast "&amp;TEXT((Engagement_Review!L7),"0%")&amp;" over its budget hours and realises "&amp;TEXT((Engagement_Review!O7),"0%")&amp;" of the rate card, against "&amp;TEXT((Engagement_Review!O6),"0%")&amp;" on the Eberstal programme office."</f>
        <v>From time recorded to revenue, year to date: standard value at the rate card EUR 5,032k; client discounts EUR 335k; time and materials written down at billing EUR 92k; fixed-fee overruns EUR 56k; value above caps EUR 95k; fee revenue EUR 4,455k, a realisation of 88.5% of the rate card. The Norlach phase 2 cap accounts for EUR 89k: the programme is forecast 20% over its budget hours and realises 78% of the rate card, against 89% on the Eberstal programme office.</v>
      </c>
    </row>
    <row r="16" customFormat="false" ht="70.5" hidden="false" customHeight="true" outlineLevel="0" collapsed="false">
      <c r="B16" s="43" t="str">
        <f aca="false">"Lock-up is "&amp;TEXT((INDEX(Time_to_Cash!$E$35:$AB$35,Assumptions!$C$10)),"0")&amp;" days at "&amp;TEXT(Assumptions!$C$9,"mmm-yy")&amp;": "&amp;TEXT((INDEX(Time_to_Cash!$E$33:$AB$33,Assumptions!$C$10)),"0")&amp;" days of unbilled work and "&amp;TEXT((INDEX(Time_to_Cash!$E$34:$AB$34,Assumptions!$C$10)),"0")&amp;" debtor days, down from "&amp;TEXT((INDEX(Time_to_Cash!$E$35:$AB$35,1)),"0")&amp;" in January. The largest balances sit with the two clients that pay through supplier portals: Norlach on 60-day terms owes EUR "&amp;TEXT((INDEX(Clients!$E$32:$AB$32,Assumptions!$C$10))/1000,"#,##0")&amp;"k, including a June invoice held pending the phase 2 cap sign-off, and Eberstal on 45-day terms EUR "&amp;TEXT((INDEX(Clients!$E$18:$AB$18,Assumptions!$C$10))/1000,"#,##0")&amp;"k, its July invoices approved late in the portal. Lock-up rises to "&amp;TEXT((Scenarios!F26),"0")&amp;" days by December 2027 in the forecast because more of the work is time and materials billed monthly in arrears; every 10 debtor days hold about EUR "&amp;TEXT((PL!$D$14/365*10*1.19)/1000,"#,##0")&amp;"k of cash including VAT."</f>
        <v>Lock-up is 62 days at Aug-26: 19 days of unbilled work and 43 debtor days, down from 72 in January. The largest balances sit with the two clients that pay through supplier portals: Norlach on 60-day terms owes EUR 192k, including a June invoice held pending the phase 2 cap sign-off, and Eberstal on 45-day terms EUR 260k, its July invoices approved late in the portal. Lock-up rises to 77 days by December 2027 in the forecast because more of the work is time and materials billed monthly in arrears; every 10 debtor days hold about EUR 265k of cash including VAT.</v>
      </c>
    </row>
    <row r="17" customFormat="false" ht="15" hidden="false" customHeight="false" outlineLevel="0" collapsed="false">
      <c r="B17" s="41" t="s">
        <v>237</v>
      </c>
      <c r="C17" s="42"/>
      <c r="D17" s="42"/>
      <c r="E17" s="42"/>
      <c r="F17" s="42"/>
    </row>
    <row r="18" customFormat="false" ht="70.5" hidden="false" customHeight="true" outlineLevel="0" collapsed="false">
      <c r="B18" s="43" t="str">
        <f aca="false">"Engagement review: "&amp;COUNTIF(Engagement_Review!$W$6:$W$28,"Forecast*")&amp;" of the "&amp;(COUNTIF(Engagement_Review!$E$6:$E$28,"In progress")+COUNTIF(Engagement_Review!$E$6:$E$28,"Contracted"))&amp;" engagements in progress or contracted are forecast over their budget hours or above their cap. The largest are Norlach phase 2 ("&amp;TEXT((Engagement_Review!L7),"0%")&amp;" over, cap reached), the Varnholt data platform ("&amp;TEXT((Engagement_Review!L15),"0%")&amp;" over, above its cap) and the Sauerbeck S/4HANA readiness assessment ("&amp;TEXT((Engagement_Review!L20),"0%")&amp;" over a fixed fee). The Sauerbeck cost programme closed "&amp;TEXT((Engagement_Review!L12),"0%")&amp;" over its hours. Rule from here: a change request before hours reach 80% of budget, and estimates to complete reviewed every two weeks on fixed-fee and capped work."</f>
        <v>Engagement review: 6 of the 16 engagements in progress or contracted are forecast over their budget hours or above their cap. The largest are Norlach phase 2 (20% over, cap reached), the Varnholt data platform (6% over, above its cap) and the Sauerbeck S/4HANA readiness assessment (9% over a fixed fee). The Sauerbeck cost programme closed 12% over its hours. Rule from here: a change request before hours reach 80% of budget, and estimates to complete reviewed every two weeks on fixed-fee and capped work.</v>
      </c>
    </row>
    <row r="19" customFormat="false" ht="57" hidden="false" customHeight="true" outlineLevel="0" collapsed="false">
      <c r="B19" s="43" t="str">
        <f aca="false">"Practices, FY2026 outlook: operations contributes EUR "&amp;TEXT((Practices!$C$16)/1000,"#,##0")&amp;"k ("&amp;TEXT((Practices!$C$17),"0.0%")&amp;" of revenue), finance EUR "&amp;TEXT((Practices!$C$33)/1000,"#,##0")&amp;"k ("&amp;TEXT((Practices!$C$34),"0.0%")&amp;"), digital and ERP EUR "&amp;TEXT((Practices!$C$50)/1000,"#,##0")&amp;"k ("&amp;TEXT((Practices!$C$51),"0.0%")&amp;"); after central costs they earn EUR "&amp;TEXT((Practices!$C$19)/1000,"#,##0")&amp;"k, EUR "&amp;TEXT((Practices!$C$36)/1000,"#,##0")&amp;"k and EUR "&amp;TEXT((Practices!$C$53)/1000,"#,##0")&amp;"k. Fees per fee earner are EUR "&amp;TEXT((Practices!$C$23)/1000,"#,##0")&amp;"k, EUR "&amp;TEXT((Practices!$C$40)/1000,"#,##0")&amp;"k and EUR "&amp;TEXT((Practices!$C$57)/1000,"#,##0")&amp;"k. Operations carries two partners including the founder, so its leverage is "&amp;TEXT((Practices!$C$24),"0")&amp;" fee earners per partner at December 2026 against "&amp;TEXT((Practices!$C$41),"0")&amp;" in finance and "&amp;TEXT((Practices!$C$58),"0")&amp;" in digital and ERP."</f>
        <v>Practices, FY2026 outlook: operations contributes EUR 1,086k (36.6% of revenue), finance EUR 879k (37.3%), digital and ERP EUR 862k (36.9%); after central costs they earn EUR 347k, EUR 293k and EUR 272k. Fees per fee earner are EUR 216k, EUR 230k and EUR 229k. Operations carries two partners including the founder, so its leverage is 6 fee earners per partner at December 2026 against 9 in finance and 10 in digital and ERP.</v>
      </c>
    </row>
    <row r="20" customFormat="false" ht="15" hidden="false" customHeight="false" outlineLevel="0" collapsed="false">
      <c r="B20" s="41" t="s">
        <v>238</v>
      </c>
      <c r="C20" s="42"/>
      <c r="D20" s="42"/>
      <c r="E20" s="42"/>
      <c r="F20" s="42"/>
    </row>
    <row r="21" customFormat="false" ht="57" hidden="false" customHeight="true" outlineLevel="0" collapsed="false">
      <c r="B21" s="43" t="str">
        <f aca="false">"Utilisation year to date by grade against target: partners "&amp;TEXT(((SUMIFS(Capacity!$E$144:$AB$144,Assumptions!$E$188:$AB$188,"A")/SUMIFS(Capacity!$E$143:$AB$143,Assumptions!$E$188:$AB$188,"A"))),"0%")&amp;" (40%), directors "&amp;TEXT(((SUMIFS(Capacity!$E$148:$AB$148,Assumptions!$E$188:$AB$188,"A")/SUMIFS(Capacity!$E$147:$AB$147,Assumptions!$E$188:$AB$188,"A"))),"0%")&amp;" (60%), managers "&amp;TEXT(((SUMIFS(Capacity!$E$152:$AB$152,Assumptions!$E$188:$AB$188,"A")/SUMIFS(Capacity!$E$151:$AB$151,Assumptions!$E$188:$AB$188,"A"))),"0%")&amp;" (75%), senior consultants "&amp;TEXT(((SUMIFS(Capacity!$E$156:$AB$156,Assumptions!$E$188:$AB$188,"A")/SUMIFS(Capacity!$E$155:$AB$155,Assumptions!$E$188:$AB$188,"A"))),"0%")&amp;" (82%), consultants "&amp;TEXT(((SUMIFS(Capacity!$E$160:$AB$160,Assumptions!$E$188:$AB$188,"A")/SUMIFS(Capacity!$E$159:$AB$159,Assumptions!$E$188:$AB$188,"A"))),"0%")&amp;" (82%). Hours below target cost EUR "&amp;TEXT((SUMIFS(Capacity!$E$171:$AB$171,Assumptions!$E$188:$AB$188,"A"))/1000,"#,##0")&amp;"k at standard cost rates. The shortfall is widest for partners and directors, whose chargeable time follows the work they sell: demand, not delivery capacity, is the constraint. By practice: operations "&amp;TEXT(((SUMIFS(Capacity!$E$47:$AB$47,Assumptions!$E$188:$AB$188,"A")/SUMIFS(Capacity!$E$44:$AB$44,Assumptions!$E$188:$AB$188,"A"))),"0%")&amp;", finance "&amp;TEXT(((SUMIFS(Capacity!$E$90:$AB$90,Assumptions!$E$188:$AB$188,"A")/SUMIFS(Capacity!$E$87:$AB$87,Assumptions!$E$188:$AB$188,"A"))),"0%")&amp;", digital and ERP "&amp;TEXT(((SUMIFS(Capacity!$E$133:$AB$133,Assumptions!$E$188:$AB$188,"A")/SUMIFS(Capacity!$E$130:$AB$130,Assumptions!$E$188:$AB$188,"A"))),"0%")&amp;"."</f>
        <v>Utilisation year to date by grade against target: partners 30% (40%), directors 51% (60%), managers 70% (75%), senior consultants 78% (82%), consultants 78% (82%). Hours below target cost EUR 313k at standard cost rates. The shortfall is widest for partners and directors, whose chargeable time follows the work they sell: demand, not delivery capacity, is the constraint. By practice: operations 67%, finance 71%, digital and ERP 68%.</v>
      </c>
    </row>
    <row r="22" customFormat="false" ht="70.5" hidden="false" customHeight="true" outlineLevel="0" collapsed="false">
      <c r="B22" s="43" t="str">
        <f aca="false">"Headcount is "&amp;TEXT((INDEX(People!$E$144:$AB$144,Assumptions!$C$10)),"0")&amp;" at "&amp;TEXT(Assumptions!$C$9,"mmm-yy")&amp;" ("&amp;TEXT((INDEX(People!$E$143:$AB$143,Assumptions!$C$10)),"0")&amp;" fee earners) and "&amp;TEXT((Scenarios!F30),"0")&amp;" at December 2027 in the "&amp;Assumptions!$C$12&amp;" case. Two graduates and a senior consultant join in September and October"&amp;IF(Assumptions!$F$175&gt;0,"; FY2027 adds a finance senior consultant in January, managers for Norlach phase 3 and Eberstal wave 2 at their win probabilities"&amp;IF(Assumptions!$F$176&gt;0," and two graduates in September",""),"; FY2027 hiring is frozen")&amp;". Employer social security adds "&amp;TEXT((PL!$C$18/PL!$C$17),"0.0%")&amp;" to fee-earner salaries in FY2026. Managers and above earn more than both contribution ceilings, so pay above them carries no social security; the ceilings rise in 2027 to EUR "&amp;TEXT((Assumptions!$C$45),"#,##0")&amp;" (pension) and EUR "&amp;TEXT((Assumptions!$C$46),"#,##0")&amp;" (health) a month under the BMAS draft of 21 September."</f>
        <v>Headcount is 40 at Aug-26 (32 fee earners) and 46 at December 2027 in the Base case. Two graduates and a senior consultant join in September and October; FY2027 adds a finance senior consultant in January, managers for Norlach phase 3 and Eberstal wave 2 at their win probabilities and two graduates in September. Employer social security adds 16.4% to fee-earner salaries in FY2026. Managers and above earn more than both contribution ceilings, so pay above them carries no social security; the ceilings rise in 2027 to EUR 8,850 (pension) and EUR 6,375 (health) a month under the BMAS draft of 21 September.</v>
      </c>
    </row>
    <row r="23" customFormat="false" ht="15" hidden="false" customHeight="false" outlineLevel="0" collapsed="false">
      <c r="B23" s="41" t="s">
        <v>239</v>
      </c>
      <c r="C23" s="42"/>
      <c r="D23" s="42"/>
      <c r="E23" s="42"/>
      <c r="F23" s="42"/>
    </row>
    <row r="24" customFormat="false" ht="57" hidden="false" customHeight="true" outlineLevel="0" collapsed="false">
      <c r="B24" s="43" t="str">
        <f aca="false">"Concentration: Eberstal is "&amp;TEXT((Pipeline!E50),"0%")&amp;" of FY2026 revenue and the top five clients "&amp;TEXT((Pipeline!$E$67),"0%")&amp;". The FY2027 largest-client share falls to "&amp;TEXT((Scenarios!F27),"0%")&amp;" only if new work arrives as planned. Sales year to date: "&amp;TEXT((Pipeline!E38),"0")&amp;" wins and "&amp;TEXT((Pipeline!E40),"0")&amp;" losses from "&amp;TEXT((Pipeline!E36),"0")&amp;" proposals, with "&amp;TEXT((Pipeline!E42),"0")&amp;" still open: a win rate of "&amp;TEXT((Pipeline!E43),"0%")&amp;" by count and "&amp;TEXT((Pipeline!E44),"0%")&amp;" by value on those decided, and an average engagement of EUR "&amp;TEXT((Pipeline!E45)/1000,"#,##0")&amp;"k. The FY2027 plan needs "&amp;TEXT((Pipeline!$D$11/(Pipeline!E39*12/Assumptions!$C$10)),"0.0")&amp;" times that annual pace of wins as new work, on top of the named pipeline."</f>
        <v>Concentration: Eberstal is 26% of FY2026 revenue and the top five clients 66%. The FY2027 largest-client share falls to 19% only if new work arrives as planned. Sales year to date: 12 wins and 14 losses from 31 proposals, with 5 still open: a win rate of 46% by count and 48% by value on those decided, and an average engagement of EUR 224k. The FY2027 plan needs 1.1 times that annual pace of wins as new work, on top of the named pipeline.</v>
      </c>
    </row>
    <row r="25" customFormat="false" ht="70.5" hidden="false" customHeight="true" outlineLevel="0" collapsed="false">
      <c r="B25" s="43" t="str">
        <f aca="false">"Pelzhoff Kunststofftechnik applied for insolvency on 20 July. Of the EUR "&amp;TEXT((INDEX(Receivables!$E$11:$AB$11,Assumptions!$C$10)+SUMIFS(Clients!$E$143:$AB$143,Assumptions!$E$188:$AB$188,"A"))/1000,"#,##0")&amp;"k it owed, EUR "&amp;TEXT((SUMIFS(Clients!$E$143:$AB$143,Assumptions!$E$188:$AB$188,"A"))/1000,"#,##0")&amp;"k of output VAT was corrected in the July return (UStG s17) and EUR "&amp;TEXT((INDEX(Receivables!$E$15:$AB$15,Assumptions!$C$10))/1000,"#,##0")&amp;"k provided, 95% of the net claim. The administrator can challenge payments received in the three months before the application if the firm knew Pelzhoff could not pay (InsO s130). EUR "&amp;TEXT((SUM(Inputs_Actuals!H113:J113))/1000,"#,##0")&amp;"k came in between April and June, and the receipt dates decide how much falls inside the window: the payment history needs a legal review before the creditors meeting."</f>
        <v>Pelzhoff Kunststofftechnik applied for insolvency on 20 July. Of the EUR 146k it owed, EUR 23k of output VAT was corrected in the July return (UStG s17) and EUR 117k provided, 95% of the net claim. The administrator can challenge payments received in the three months before the application if the firm knew Pelzhoff could not pay (InsO s130). EUR 74k came in between April and June, and the receipt dates decide how much falls inside the window: the payment history needs a legal review before the creditors meeting.</v>
      </c>
    </row>
    <row r="26" customFormat="false" ht="15" hidden="false" customHeight="false" outlineLevel="0" collapsed="false">
      <c r="B26" s="41" t="s">
        <v>240</v>
      </c>
      <c r="C26" s="42"/>
      <c r="D26" s="42"/>
      <c r="E26" s="42"/>
      <c r="F26" s="42"/>
    </row>
    <row r="27" customFormat="false" ht="70.5" hidden="false" customHeight="true" outlineLevel="0" collapsed="false">
      <c r="B27" s="43" t="str">
        <f aca="false">"The 13 weeks from 12 September: opening cash EUR "&amp;TEXT((Cash_13W!C62)/1000,"#,##0")&amp;"k after the 10 September payments of wage tax, the July VAT return and the corporate income tax prepayment; receipts EUR "&amp;TEXT((Cash_13W!U42)/1000,"#,##0")&amp;"k, payments EUR "&amp;TEXT(ABS(Cash_13W!U59)/1000,"#,##0")&amp;"k, closing EUR "&amp;TEXT((Cash_13W!T63)/1000,"#,##0")&amp;"k on 11 December. The turn of each month is the pinch: social security on the third-last banking day and salaries on the last, then wage tax and VAT on the 10th; EUR "&amp;TEXT((Cash_13W!C74)/1000,"#,##0")&amp;"k of social security and tax leaves in the window. Closing cash on 11 December plus the rest of the December flows reconciles to the December balance sheet to the euro."</f>
        <v>The 13 weeks from 12 September: opening cash EUR 673k after the 10 September payments of wage tax, the July VAT return and the corporate income tax prepayment; receipts EUR 2,192k, payments EUR 2,049k, closing EUR 816k on 11 December. The turn of each month is the pinch: social security on the third-last banking day and salaries on the last, then wage tax and VAT on the 10th; EUR 932k of social security and tax leaves in the window. Closing cash on 11 December plus the rest of the December flows reconciles to the December balance sheet to the euro.</v>
      </c>
    </row>
    <row r="28" customFormat="false" ht="84" hidden="false" customHeight="true" outlineLevel="0" collapsed="false">
      <c r="B28" s="43" t="str">
        <f aca="false">"VAT runs under the permanent one-month extension: the EUR "&amp;TEXT((INDEX(VAT!$E$25:$AB$25,Assumptions!$C$10))/1000,"#,##0")&amp;"k payable at "&amp;TEXT(Assumptions!$C$9,"mmm-yy")&amp;" covers July and August less the EUR "&amp;TEXT((Assumptions!$C$22)/1000,"#,##0")&amp;"k special prepayment, which is credited against the December return in February 2027, when a new special prepayment of EUR "&amp;TEXT((ABS(VAT!R24))/1000,"#,##0")&amp;"k falls due. Corporate income tax and trade tax take "&amp;TEXT((Tax!$C$28),"0.0%")&amp;" of FY2026 profit before tax: the statutory 32.975% (15.825% plus 17.15% at the Munich multiplier of 490%) plus non-deductible items. The prepayments set by the FY2025 notices exceed the FY2026 charge by EUR "&amp;TEXT(((Tax!$C$17+Tax!$C$23-Tax!$C$16-Tax!$C$22))/1000,"#,##0")&amp;"k: an application to cut the November trade tax and December corporate income tax prepayments keeps that cash in the business instead of waiting for the FY2026 assessments."</f>
        <v>VAT runs under the permanent one-month extension: the EUR 76k payable at Aug-26 covers July and August less the EUR 88k special prepayment, which is credited against the December return in February 2027, when a new special prepayment of EUR 89k falls due. Corporate income tax and trade tax take 33.3% of FY2026 profit before tax: the statutory 32.975% (15.825% plus 17.15% at the Munich multiplier of 490%) plus non-deductible items. The prepayments set by the FY2025 notices exceed the FY2026 charge by EUR 57k: an application to cut the November trade tax and December corporate income tax prepayments keeps that cash in the business instead of waiting for the FY2026 assessments.</v>
      </c>
    </row>
    <row r="29" customFormat="false" ht="15" hidden="false" customHeight="false" outlineLevel="0" collapsed="false">
      <c r="B29" s="41" t="s">
        <v>241</v>
      </c>
      <c r="C29" s="42"/>
      <c r="D29" s="42"/>
      <c r="E29" s="42"/>
      <c r="F29" s="42"/>
    </row>
    <row r="30" customFormat="false" ht="84" hidden="false" customHeight="true" outlineLevel="0" collapsed="false">
      <c r="B30" s="43" t="str">
        <f aca="false">"Base: FY2027 revenue EUR "&amp;TEXT((Scenarios!C10)/1000,"#,##0")&amp;"k, "&amp;IF(Scenarios!C16&lt;0,"an EBITDA loss of EUR "&amp;TEXT(ABS(Scenarios!C16)/1000,"#,##0")&amp;"k","EBITDA of EUR "&amp;TEXT((Scenarios!C16)/1000,"#,##0")&amp;"k")&amp;" ("&amp;TEXT((Scenarios!C17),"0.0%")&amp;"), lowest cash "&amp;IF(Scenarios!C21&lt;0,"an overdrawn EUR "&amp;TEXT(ABS(Scenarios!C21)/1000,"#,##0")&amp;"k","EUR "&amp;TEXT((Scenarios!C21)/1000,"#,##0")&amp;"k")&amp;". Downside (industrial recession: lower win rates, starts a month later, only "&amp;TEXT((Assumptions!$D$168),"0%")&amp;" of the gap to target utilisation sold, overruns of 12%, no rate increase, clients 15 days slower, hiring frozen, leavers not replaced, "&amp;TEXT((Assumptions!$D$177),"0")&amp;" separations from April 2027 with severance, no dividend): FY2027 revenue EUR "&amp;TEXT((Scenarios!D10)/1000,"#,##0")&amp;"k, "&amp;IF(Scenarios!D16&lt;0,"an EBITDA loss of EUR "&amp;TEXT(ABS(Scenarios!D16)/1000,"#,##0")&amp;"k","EBITDA of EUR "&amp;TEXT((Scenarios!D16)/1000,"#,##0")&amp;"k")&amp;", lowest cash "&amp;IF(Scenarios!D21&lt;0,"an overdrawn EUR "&amp;TEXT(ABS(Scenarios!D21)/1000,"#,##0")&amp;"k","EUR "&amp;TEXT((Scenarios!D21)/1000,"#,##0")&amp;"k")&amp;". Upside: FY2027 revenue EUR "&amp;TEXT((Scenarios!E10)/1000,"#,##0")&amp;"k, "&amp;IF(Scenarios!E16&lt;0,"an EBITDA loss of EUR "&amp;TEXT(ABS(Scenarios!E16)/1000,"#,##0")&amp;"k","EBITDA of EUR "&amp;TEXT((Scenarios!E16)/1000,"#,##0")&amp;"k")&amp;" ("&amp;TEXT((Scenarios!E17),"0.0%")&amp;"), lowest cash "&amp;IF(Scenarios!E21&lt;0,"an overdrawn EUR "&amp;TEXT(ABS(Scenarios!E21)/1000,"#,##0")&amp;"k","EUR "&amp;TEXT((Scenarios!E21)/1000,"#,##0")&amp;"k")&amp;"."</f>
        <v>Base: FY2027 revenue EUR 8,139k, EBITDA of EUR 982k (12.1%), lowest cash EUR 704k. Downside (industrial recession: lower win rates, starts a month later, only 60% of the gap to target utilisation sold, overruns of 12%, no rate increase, clients 15 days slower, hiring frozen, leavers not replaced, 5 separations from April 2027 with severance, no dividend): FY2027 revenue EUR 5,365k, an EBITDA loss of EUR 459k, lowest cash EUR 253k. Upside: FY2027 revenue EUR 9,576k, EBITDA of EUR 2,158k (22.5%), lowest cash EUR 707k.</v>
      </c>
    </row>
    <row r="31" customFormat="false" ht="43.5" hidden="false" customHeight="true" outlineLevel="0" collapsed="false">
      <c r="B31" s="43" t="str">
        <f aca="false">"The Downside is the one to prepare for: it takes EUR "&amp;TEXT((Scenarios!C10-Scenarios!D10)/1000,"#,##0")&amp;"k out of FY2027 revenue and cash falls EUR "&amp;TEXT(ABS(MIN(0,Scenarios!D23))/1000,"#,##0")&amp;"k below the buffer even after the response. Triggers, reviewed monthly: Eberstal wave 2 not signed by 31 January; utilisation below 65% for two months; new work sold below plan for two months from November; lock-up above 80 days; any"&amp;" client more than 30 days overdue by more than EUR 50k."</f>
        <v>The Downside is the one to prepare for: it takes EUR 2,774k out of FY2027 revenue and cash falls EUR 347k below the buffer even after the response. Triggers, reviewed monthly: Eberstal wave 2 not signed by 31 January; utilisation below 65% for two months; new work sold below plan for two months from November; lock-up above 80 days; any client more than 30 days overdue by more than EUR 50k.</v>
      </c>
    </row>
    <row r="32" customFormat="false" ht="15" hidden="false" customHeight="false" outlineLevel="0" collapsed="false">
      <c r="B32" s="41" t="s">
        <v>242</v>
      </c>
      <c r="C32" s="42"/>
      <c r="D32" s="42"/>
      <c r="E32" s="42"/>
      <c r="F32" s="42"/>
    </row>
    <row r="33" customFormat="false" ht="15" hidden="false" customHeight="false" outlineLevel="0" collapsed="false">
      <c r="B33" s="44" t="s">
        <v>243</v>
      </c>
      <c r="C33" s="45" t="s">
        <v>244</v>
      </c>
      <c r="D33" s="45" t="s">
        <v>245</v>
      </c>
      <c r="E33" s="45" t="s">
        <v>246</v>
      </c>
      <c r="F33" s="45" t="s">
        <v>247</v>
      </c>
    </row>
    <row r="34" customFormat="false" ht="43.5" hidden="false" customHeight="true" outlineLevel="0" collapsed="false">
      <c r="B34" s="43" t="str">
        <f aca="false">"Sales gap: "&amp;TEXT((Scenarios!F28),"0%")&amp;" of FY2027 fee revenue is not yet won; EUR "&amp;TEXT((Pipeline!$D$11)/1000,"#,##0")&amp;"k of new work not yet identified"</f>
        <v>Sales gap: 86% of FY2027 fee revenue is not yet won; EUR 4,293k of new work not yet identified</v>
      </c>
      <c r="C34" s="46" t="n">
        <v>4</v>
      </c>
      <c r="D34" s="46" t="n">
        <v>4</v>
      </c>
      <c r="E34" s="47" t="n">
        <f aca="false">C34*D34</f>
        <v>16</v>
      </c>
      <c r="F34" s="48" t="s">
        <v>248</v>
      </c>
    </row>
    <row r="35" customFormat="false" ht="43.5" hidden="false" customHeight="true" outlineLevel="0" collapsed="false">
      <c r="B35" s="43" t="str">
        <f aca="false">"Concentration: Eberstal is "&amp;TEXT((Pipeline!E50),"0%")&amp;" of FY2026 revenue; its programme office ends at the March 2027 go-live"</f>
        <v>Concentration: Eberstal is 26% of FY2026 revenue; its programme office ends at the March 2027 go-live</v>
      </c>
      <c r="C35" s="46" t="n">
        <v>3</v>
      </c>
      <c r="D35" s="46" t="n">
        <v>5</v>
      </c>
      <c r="E35" s="47" t="n">
        <f aca="false">C35*D35</f>
        <v>15</v>
      </c>
      <c r="F35" s="48" t="s">
        <v>249</v>
      </c>
    </row>
    <row r="36" customFormat="false" ht="57" hidden="false" customHeight="true" outlineLevel="0" collapsed="false">
      <c r="B36" s="43" t="s">
        <v>250</v>
      </c>
      <c r="C36" s="46" t="n">
        <v>3</v>
      </c>
      <c r="D36" s="46" t="n">
        <v>4</v>
      </c>
      <c r="E36" s="47" t="n">
        <f aca="false">C36*D36</f>
        <v>12</v>
      </c>
      <c r="F36" s="48" t="s">
        <v>251</v>
      </c>
    </row>
    <row r="37" customFormat="false" ht="43.5" hidden="false" customHeight="true" outlineLevel="0" collapsed="false">
      <c r="B37" s="43" t="str">
        <f aca="false">"Realisation: Norlach phase 2 is "&amp;TEXT((Engagement_Review!L7),"0%")&amp;" over budget hours; "&amp;COUNTIF(Engagement_Review!$W$6:$W$28,"Forecast*")&amp;" live engagements forecast over budget or cap"</f>
        <v>Realisation: Norlach phase 2 is 20% over budget hours; 6 live engagements forecast over budget or cap</v>
      </c>
      <c r="C37" s="46" t="n">
        <v>3</v>
      </c>
      <c r="D37" s="46" t="n">
        <v>3</v>
      </c>
      <c r="E37" s="47" t="n">
        <f aca="false">C37*D37</f>
        <v>9</v>
      </c>
      <c r="F37" s="48" t="s">
        <v>252</v>
      </c>
    </row>
    <row r="38" customFormat="false" ht="43.5" hidden="false" customHeight="true" outlineLevel="0" collapsed="false">
      <c r="B38" s="43" t="str">
        <f aca="false">"Utilisation: "&amp;TEXT(((SUMIFS(Capacity!$E$167:$AB$167,Assumptions!$E$188:$AB$188,"A")/SUMIFS(Capacity!$E$164:$AB$164,Assumptions!$E$188:$AB$188,"A"))),"0%")&amp;" year to date against a "&amp;TEXT((SUMIFS(Capacity!$E$170:$AB$170,Assumptions!$E$188:$AB$188,"A")/Assumptions!$C$10),"0%")&amp;" target; capacity grows before the 2027 work is sold"</f>
        <v>Utilisation: 68% year to date against a 74% target; capacity grows before the 2027 work is sold</v>
      </c>
      <c r="C38" s="46" t="n">
        <v>3</v>
      </c>
      <c r="D38" s="46" t="n">
        <v>4</v>
      </c>
      <c r="E38" s="47" t="n">
        <f aca="false">C38*D38</f>
        <v>12</v>
      </c>
      <c r="F38" s="48" t="s">
        <v>253</v>
      </c>
    </row>
    <row r="39" customFormat="false" ht="43.5" hidden="false" customHeight="true" outlineLevel="0" collapsed="false">
      <c r="B39" s="43" t="str">
        <f aca="false">"Pelzhoff: EUR "&amp;TEXT((SUM(Inputs_Actuals!H113:J113))/1000,"#,##0")&amp;"k received April to June, open to challenge by the administrator where it fell in the three months before the application (InsO s130)"</f>
        <v>Pelzhoff: EUR 74k received April to June, open to challenge by the administrator where it fell in the three months before the application (InsO s130)</v>
      </c>
      <c r="C39" s="46" t="n">
        <v>2</v>
      </c>
      <c r="D39" s="46" t="n">
        <v>2</v>
      </c>
      <c r="E39" s="47" t="n">
        <f aca="false">C39*D39</f>
        <v>4</v>
      </c>
      <c r="F39" s="48" t="s">
        <v>254</v>
      </c>
    </row>
    <row r="40" customFormat="false" ht="43.5" hidden="false" customHeight="true" outlineLevel="0" collapsed="false">
      <c r="B40" s="43" t="s">
        <v>255</v>
      </c>
      <c r="C40" s="46" t="n">
        <v>2</v>
      </c>
      <c r="D40" s="46" t="n">
        <v>3</v>
      </c>
      <c r="E40" s="47" t="n">
        <f aca="false">C40*D40</f>
        <v>6</v>
      </c>
      <c r="F40" s="48" t="s">
        <v>256</v>
      </c>
    </row>
    <row r="41" customFormat="false" ht="43.5" hidden="false" customHeight="true" outlineLevel="0" collapsed="false">
      <c r="B41" s="43" t="str">
        <f aca="false">"Cash: forecast low of "&amp;IF(Scenarios!F21&lt;0,"an overdrawn EUR "&amp;TEXT(ABS(Scenarios!F21)/1000,"#,##0")&amp;"k","EUR "&amp;TEXT((Scenarios!F21)/1000,"#,##0")&amp;"k")&amp;" against the EUR "&amp;TEXT((Assumptions!$C$13)/1000,"#,##0")&amp;"k buffer, with social security, wage tax and VAT due within ten days of each month end"</f>
        <v>Cash: forecast low of EUR 704k against the EUR 600k buffer, with social security, wage tax and VAT due within ten days of each month end</v>
      </c>
      <c r="C41" s="46" t="n">
        <v>2</v>
      </c>
      <c r="D41" s="46" t="n">
        <v>3</v>
      </c>
      <c r="E41" s="47" t="n">
        <f aca="false">C41*D41</f>
        <v>6</v>
      </c>
      <c r="F41" s="48" t="s">
        <v>257</v>
      </c>
    </row>
    <row r="42" customFormat="false" ht="43.5" hidden="false" customHeight="true" outlineLevel="0" collapsed="false">
      <c r="B42" s="43" t="s">
        <v>258</v>
      </c>
      <c r="C42" s="46" t="n">
        <v>3</v>
      </c>
      <c r="D42" s="46" t="n">
        <v>2</v>
      </c>
      <c r="E42" s="47" t="n">
        <f aca="false">C42*D42</f>
        <v>6</v>
      </c>
      <c r="F42" s="48" t="s">
        <v>259</v>
      </c>
    </row>
    <row r="43" customFormat="false" ht="43.5" hidden="false" customHeight="true" outlineLevel="0" collapsed="false">
      <c r="B43" s="43" t="s">
        <v>260</v>
      </c>
      <c r="C43" s="46" t="n">
        <v>2</v>
      </c>
      <c r="D43" s="46" t="n">
        <v>4</v>
      </c>
      <c r="E43" s="47" t="n">
        <f aca="false">C43*D43</f>
        <v>8</v>
      </c>
      <c r="F43" s="48" t="s">
        <v>261</v>
      </c>
    </row>
    <row r="45" customFormat="false" ht="15" hidden="false" customHeight="false" outlineLevel="0" collapsed="false">
      <c r="B45" s="41" t="s">
        <v>262</v>
      </c>
      <c r="C45" s="42"/>
      <c r="D45" s="42"/>
      <c r="E45" s="42"/>
      <c r="F45" s="42"/>
    </row>
    <row r="46" customFormat="false" ht="15" hidden="false" customHeight="false" outlineLevel="0" collapsed="false">
      <c r="B46" s="44" t="s">
        <v>263</v>
      </c>
      <c r="C46" s="45" t="s">
        <v>264</v>
      </c>
      <c r="D46" s="45" t="s">
        <v>265</v>
      </c>
      <c r="E46" s="45" t="s">
        <v>152</v>
      </c>
      <c r="F46" s="45" t="s">
        <v>266</v>
      </c>
    </row>
    <row r="47" customFormat="false" ht="43.5" hidden="false" customHeight="true" outlineLevel="0" collapsed="false">
      <c r="B47" s="43" t="s">
        <v>267</v>
      </c>
      <c r="C47" s="48" t="s">
        <v>268</v>
      </c>
      <c r="D47" s="49" t="n">
        <v>46295</v>
      </c>
      <c r="E47" s="46" t="s">
        <v>269</v>
      </c>
      <c r="F47" s="48" t="s">
        <v>270</v>
      </c>
    </row>
    <row r="48" customFormat="false" ht="30" hidden="false" customHeight="true" outlineLevel="0" collapsed="false">
      <c r="B48" s="43" t="s">
        <v>271</v>
      </c>
      <c r="C48" s="48" t="s">
        <v>272</v>
      </c>
      <c r="D48" s="49" t="n">
        <v>46356</v>
      </c>
      <c r="E48" s="46" t="s">
        <v>269</v>
      </c>
      <c r="F48" s="48" t="s">
        <v>273</v>
      </c>
    </row>
    <row r="49" customFormat="false" ht="30" hidden="false" customHeight="true" outlineLevel="0" collapsed="false">
      <c r="B49" s="43" t="str">
        <f aca="false">"FY2027 sales plan: EUR "&amp;TEXT((Pipeline!$D$11)/1000,"#,##0")&amp;"k of new work by practice and partner, with monthly proposal targets"</f>
        <v>FY2027 sales plan: EUR 4,293k of new work by practice and partner, with monthly proposal targets</v>
      </c>
      <c r="C49" s="48" t="s">
        <v>274</v>
      </c>
      <c r="D49" s="49" t="n">
        <v>46310</v>
      </c>
      <c r="E49" s="46" t="s">
        <v>269</v>
      </c>
      <c r="F49" s="48" t="s">
        <v>275</v>
      </c>
    </row>
    <row r="50" customFormat="false" ht="43.5" hidden="false" customHeight="true" outlineLevel="0" collapsed="false">
      <c r="B50" s="43" t="s">
        <v>276</v>
      </c>
      <c r="C50" s="48" t="s">
        <v>277</v>
      </c>
      <c r="D50" s="49" t="n">
        <v>46310</v>
      </c>
      <c r="E50" s="46" t="s">
        <v>278</v>
      </c>
      <c r="F50" s="48" t="s">
        <v>279</v>
      </c>
    </row>
    <row r="51" customFormat="false" ht="57" hidden="false" customHeight="true" outlineLevel="0" collapsed="false">
      <c r="B51" s="43" t="s">
        <v>280</v>
      </c>
      <c r="C51" s="48" t="s">
        <v>281</v>
      </c>
      <c r="D51" s="49" t="n">
        <v>46325</v>
      </c>
      <c r="E51" s="46" t="s">
        <v>269</v>
      </c>
      <c r="F51" s="48" t="s">
        <v>282</v>
      </c>
    </row>
    <row r="52" customFormat="false" ht="30" hidden="false" customHeight="true" outlineLevel="0" collapsed="false">
      <c r="B52" s="43" t="s">
        <v>283</v>
      </c>
      <c r="C52" s="48" t="s">
        <v>284</v>
      </c>
      <c r="D52" s="49" t="n">
        <v>46326</v>
      </c>
      <c r="E52" s="46" t="s">
        <v>269</v>
      </c>
      <c r="F52" s="48" t="s">
        <v>285</v>
      </c>
    </row>
    <row r="53" customFormat="false" ht="43.5" hidden="false" customHeight="true" outlineLevel="0" collapsed="false">
      <c r="B53" s="43" t="s">
        <v>286</v>
      </c>
      <c r="C53" s="48" t="s">
        <v>277</v>
      </c>
      <c r="D53" s="49" t="n">
        <v>46371</v>
      </c>
      <c r="E53" s="46" t="s">
        <v>269</v>
      </c>
      <c r="F53" s="48" t="s">
        <v>287</v>
      </c>
    </row>
    <row r="54" customFormat="false" ht="30" hidden="false" customHeight="true" outlineLevel="0" collapsed="false">
      <c r="B54" s="43" t="s">
        <v>288</v>
      </c>
      <c r="C54" s="48" t="s">
        <v>289</v>
      </c>
      <c r="D54" s="49" t="n">
        <v>46326</v>
      </c>
      <c r="E54" s="46" t="s">
        <v>269</v>
      </c>
      <c r="F54" s="48" t="s">
        <v>290</v>
      </c>
    </row>
    <row r="55" customFormat="false" ht="30" hidden="false" customHeight="true" outlineLevel="0" collapsed="false">
      <c r="B55" s="43" t="s">
        <v>291</v>
      </c>
      <c r="C55" s="48" t="s">
        <v>292</v>
      </c>
      <c r="D55" s="49" t="n">
        <v>46310</v>
      </c>
      <c r="E55" s="46" t="s">
        <v>269</v>
      </c>
      <c r="F55" s="48" t="s">
        <v>293</v>
      </c>
    </row>
    <row r="57" customFormat="false" ht="15" hidden="false" customHeight="false" outlineLevel="0" collapsed="false">
      <c r="B57" s="41" t="s">
        <v>294</v>
      </c>
      <c r="C57" s="42"/>
      <c r="D57" s="42"/>
      <c r="E57" s="42"/>
      <c r="F57" s="42"/>
    </row>
    <row r="58" customFormat="false" ht="30" hidden="false" customHeight="true" outlineLevel="0" collapsed="false">
      <c r="B58" s="43" t="s">
        <v>295</v>
      </c>
    </row>
    <row r="59" customFormat="false" ht="16.5" hidden="false" customHeight="true" outlineLevel="0" collapsed="false">
      <c r="B59" s="43" t="s">
        <v>296</v>
      </c>
    </row>
    <row r="60" customFormat="false" ht="16.5" hidden="false" customHeight="true" outlineLevel="0" collapsed="false">
      <c r="B60" s="43" t="s">
        <v>297</v>
      </c>
    </row>
    <row r="61" customFormat="false" ht="16.5" hidden="false" customHeight="true" outlineLevel="0" collapsed="false">
      <c r="B61" s="43" t="s">
        <v>298</v>
      </c>
    </row>
    <row r="62" customFormat="false" ht="16.5" hidden="false" customHeight="true" outlineLevel="0" collapsed="false">
      <c r="B62" s="43" t="s">
        <v>299</v>
      </c>
    </row>
    <row r="63" customFormat="false" ht="16.5" hidden="false" customHeight="true" outlineLevel="0" collapsed="false">
      <c r="B63" s="43" t="s">
        <v>300</v>
      </c>
    </row>
    <row r="65" customFormat="false" ht="16.5" hidden="false" customHeight="true" outlineLevel="0" collapsed="false">
      <c r="B65" s="50" t="str">
        <f aca="false">"Prepared by BriQs Group for the managing directors of "&amp;Assumptions!$C$6&amp;". Model status at the time of preparation: "&amp;Checks!E51&amp;"."</f>
        <v>Prepared by BriQs Group for the managing directors of Selmberg Consulting GmbH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301</v>
      </c>
    </row>
    <row r="3" customFormat="false" ht="15" hidden="false" customHeight="false" outlineLevel="0" collapsed="false">
      <c r="A3" s="51" t="s">
        <v>302</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311</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312</v>
      </c>
      <c r="B9" s="60" t="s">
        <v>31</v>
      </c>
      <c r="C9" s="61" t="n">
        <f aca="false">SUM(E9:P9)</f>
        <v>7663693.79241965</v>
      </c>
      <c r="D9" s="61" t="n">
        <f aca="false">SUM(Q9:AB9)</f>
        <v>8138917.57368681</v>
      </c>
      <c r="E9" s="62" t="n">
        <f aca="false">PL!E14</f>
        <v>479492.6</v>
      </c>
      <c r="F9" s="62" t="n">
        <f aca="false">PL!F14</f>
        <v>525340.41</v>
      </c>
      <c r="G9" s="62" t="n">
        <f aca="false">PL!G14</f>
        <v>659078.81</v>
      </c>
      <c r="H9" s="62" t="n">
        <f aca="false">PL!H14</f>
        <v>568656.44</v>
      </c>
      <c r="I9" s="62" t="n">
        <f aca="false">PL!I14</f>
        <v>589387.68</v>
      </c>
      <c r="J9" s="62" t="n">
        <f aca="false">PL!J14</f>
        <v>744508.54</v>
      </c>
      <c r="K9" s="62" t="n">
        <f aca="false">PL!K14</f>
        <v>626899.04</v>
      </c>
      <c r="L9" s="62" t="n">
        <f aca="false">PL!L14</f>
        <v>510901.62</v>
      </c>
      <c r="M9" s="62" t="n">
        <f aca="false">PL!M14</f>
        <v>779210.227703403</v>
      </c>
      <c r="N9" s="62" t="n">
        <f aca="false">PL!N14</f>
        <v>707517.867793864</v>
      </c>
      <c r="O9" s="62" t="n">
        <f aca="false">PL!O14</f>
        <v>709361.236590174</v>
      </c>
      <c r="P9" s="62" t="n">
        <f aca="false">PL!P14</f>
        <v>763339.320332212</v>
      </c>
      <c r="Q9" s="62" t="n">
        <f aca="false">PL!Q14</f>
        <v>698289.27242846</v>
      </c>
      <c r="R9" s="62" t="n">
        <f aca="false">PL!R14</f>
        <v>724370.058409322</v>
      </c>
      <c r="S9" s="62" t="n">
        <f aca="false">PL!S14</f>
        <v>718015.45755546</v>
      </c>
      <c r="T9" s="62" t="n">
        <f aca="false">PL!T14</f>
        <v>717170.640657371</v>
      </c>
      <c r="U9" s="62" t="n">
        <f aca="false">PL!U14</f>
        <v>539393.17757938</v>
      </c>
      <c r="V9" s="62" t="n">
        <f aca="false">PL!V14</f>
        <v>716001.99261945</v>
      </c>
      <c r="W9" s="62" t="n">
        <f aca="false">PL!W14</f>
        <v>680780.574170406</v>
      </c>
      <c r="X9" s="62" t="n">
        <f aca="false">PL!X14</f>
        <v>583680.693355902</v>
      </c>
      <c r="Y9" s="62" t="n">
        <f aca="false">PL!Y14</f>
        <v>717140.251582205</v>
      </c>
      <c r="Z9" s="62" t="n">
        <f aca="false">PL!Z14</f>
        <v>646183.212622157</v>
      </c>
      <c r="AA9" s="62" t="n">
        <f aca="false">PL!AA14</f>
        <v>671458.270286347</v>
      </c>
      <c r="AB9" s="62" t="n">
        <f aca="false">PL!AB14</f>
        <v>726433.972420348</v>
      </c>
    </row>
    <row r="10" customFormat="false" ht="15" hidden="false" customHeight="false" outlineLevel="0" collapsed="false">
      <c r="A10" s="29" t="s">
        <v>313</v>
      </c>
      <c r="B10" s="60"/>
      <c r="D10" s="63" t="n">
        <f aca="false">IF(C9=0,0,D9/C9-1)</f>
        <v>0.0620097558878476</v>
      </c>
      <c r="Q10" s="64" t="n">
        <f aca="false">IF(E9=0,0,Q9/E9-1)</f>
        <v>0.456308757274795</v>
      </c>
      <c r="R10" s="64" t="n">
        <f aca="false">IF(F9=0,0,R9/F9-1)</f>
        <v>0.378858440395479</v>
      </c>
      <c r="S10" s="64" t="n">
        <f aca="false">IF(G9=0,0,S9/G9-1)</f>
        <v>0.0894227619841992</v>
      </c>
      <c r="T10" s="64" t="n">
        <f aca="false">IF(H9=0,0,T9/H9-1)</f>
        <v>0.261166831518467</v>
      </c>
      <c r="U10" s="64" t="n">
        <f aca="false">IF(I9=0,0,U9/I9-1)</f>
        <v>-0.0848244782120653</v>
      </c>
      <c r="V10" s="64" t="n">
        <f aca="false">IF(J9=0,0,V9/J9-1)</f>
        <v>-0.0382890804456728</v>
      </c>
      <c r="W10" s="64" t="n">
        <f aca="false">IF(K9=0,0,W9/K9-1)</f>
        <v>0.0859493008162942</v>
      </c>
      <c r="X10" s="64" t="n">
        <f aca="false">IF(L9=0,0,X9/L9-1)</f>
        <v>0.14245222662614</v>
      </c>
      <c r="Y10" s="64" t="n">
        <f aca="false">IF(M9=0,0,Y9/M9-1)</f>
        <v>-0.0796575480074723</v>
      </c>
      <c r="Z10" s="64" t="n">
        <f aca="false">IF(N9=0,0,Z9/N9-1)</f>
        <v>-0.086689902776529</v>
      </c>
      <c r="AA10" s="64" t="n">
        <f aca="false">IF(O9=0,0,AA9/O9-1)</f>
        <v>-0.0534325310557169</v>
      </c>
      <c r="AB10" s="64" t="n">
        <f aca="false">IF(P9=0,0,AB9/P9-1)</f>
        <v>-0.0483472381532795</v>
      </c>
    </row>
    <row r="11" customFormat="false" ht="15" hidden="false" customHeight="false" outlineLevel="0" collapsed="false">
      <c r="A11" s="29" t="s">
        <v>314</v>
      </c>
      <c r="B11" s="60" t="s">
        <v>31</v>
      </c>
      <c r="C11" s="63" t="n">
        <f aca="false">PL!C24</f>
        <v>0.368846974934972</v>
      </c>
      <c r="D11" s="63" t="n">
        <f aca="false">PL!D24</f>
        <v>0.348415162107065</v>
      </c>
      <c r="E11" s="65" t="n">
        <f aca="false">PL!E24</f>
        <v>0.256604972283896</v>
      </c>
      <c r="F11" s="65" t="n">
        <f aca="false">PL!F24</f>
        <v>0.280610614617165</v>
      </c>
      <c r="G11" s="65" t="n">
        <f aca="false">PL!G24</f>
        <v>0.415777094750374</v>
      </c>
      <c r="H11" s="65" t="n">
        <f aca="false">PL!H24</f>
        <v>0.327308033827947</v>
      </c>
      <c r="I11" s="65" t="n">
        <f aca="false">PL!I24</f>
        <v>0.301335953951396</v>
      </c>
      <c r="J11" s="65" t="n">
        <f aca="false">PL!J24</f>
        <v>0.410155092109487</v>
      </c>
      <c r="K11" s="65" t="n">
        <f aca="false">PL!K24</f>
        <v>0.358052659962599</v>
      </c>
      <c r="L11" s="65" t="n">
        <f aca="false">PL!L24</f>
        <v>0.24305481513251</v>
      </c>
      <c r="M11" s="65" t="n">
        <f aca="false">PL!M24</f>
        <v>0.426915915002411</v>
      </c>
      <c r="N11" s="65" t="n">
        <f aca="false">PL!N24</f>
        <v>0.401223254894538</v>
      </c>
      <c r="O11" s="65" t="n">
        <f aca="false">PL!O24</f>
        <v>0.42926943659539</v>
      </c>
      <c r="P11" s="65" t="n">
        <f aca="false">PL!P24</f>
        <v>0.449962009669858</v>
      </c>
      <c r="Q11" s="65" t="n">
        <f aca="false">PL!Q24</f>
        <v>0.359477296142397</v>
      </c>
      <c r="R11" s="65" t="n">
        <f aca="false">PL!R24</f>
        <v>0.380014868486566</v>
      </c>
      <c r="S11" s="65" t="n">
        <f aca="false">PL!S24</f>
        <v>0.395513048310975</v>
      </c>
      <c r="T11" s="65" t="n">
        <f aca="false">PL!T24</f>
        <v>0.384868254328146</v>
      </c>
      <c r="U11" s="65" t="n">
        <f aca="false">PL!U24</f>
        <v>0.20275025505694</v>
      </c>
      <c r="V11" s="65" t="n">
        <f aca="false">PL!V24</f>
        <v>0.385779590368935</v>
      </c>
      <c r="W11" s="65" t="n">
        <f aca="false">PL!W24</f>
        <v>0.358468508384206</v>
      </c>
      <c r="X11" s="65" t="n">
        <f aca="false">PL!X24</f>
        <v>0.264432443700762</v>
      </c>
      <c r="Y11" s="65" t="n">
        <f aca="false">PL!Y24</f>
        <v>0.370163405628966</v>
      </c>
      <c r="Z11" s="65" t="n">
        <f aca="false">PL!Z24</f>
        <v>0.30968212782336</v>
      </c>
      <c r="AA11" s="65" t="n">
        <f aca="false">PL!AA24</f>
        <v>0.333576523216432</v>
      </c>
      <c r="AB11" s="65" t="n">
        <f aca="false">PL!AB24</f>
        <v>0.379820211036671</v>
      </c>
    </row>
    <row r="12" customFormat="false" ht="15" hidden="false" customHeight="false" outlineLevel="0" collapsed="false">
      <c r="A12" s="29" t="s">
        <v>315</v>
      </c>
      <c r="B12" s="60" t="s">
        <v>31</v>
      </c>
      <c r="C12" s="63" t="n">
        <f aca="false">PL!C43</f>
        <v>0.119117818269476</v>
      </c>
      <c r="D12" s="63" t="n">
        <f aca="false">PL!D43</f>
        <v>0.120637708541939</v>
      </c>
      <c r="E12" s="65" t="n">
        <f aca="false">PL!E43</f>
        <v>-0.0341607112942361</v>
      </c>
      <c r="F12" s="65" t="n">
        <f aca="false">PL!F43</f>
        <v>-0.0371309934526351</v>
      </c>
      <c r="G12" s="65" t="n">
        <f aca="false">PL!G43</f>
        <v>0.187585433489754</v>
      </c>
      <c r="H12" s="65" t="n">
        <f aca="false">PL!H43</f>
        <v>0.0729197473359556</v>
      </c>
      <c r="I12" s="65" t="n">
        <f aca="false">PL!I43</f>
        <v>0.0481134456559799</v>
      </c>
      <c r="J12" s="65" t="n">
        <f aca="false">PL!J43</f>
        <v>0.215983606631757</v>
      </c>
      <c r="K12" s="65" t="n">
        <f aca="false">PL!K43</f>
        <v>-0.0824392984231592</v>
      </c>
      <c r="L12" s="65" t="n">
        <f aca="false">PL!L43</f>
        <v>-0.0282708626601027</v>
      </c>
      <c r="M12" s="65" t="n">
        <f aca="false">PL!M43</f>
        <v>0.234760317837479</v>
      </c>
      <c r="N12" s="65" t="n">
        <f aca="false">PL!N43</f>
        <v>0.169398765127284</v>
      </c>
      <c r="O12" s="65" t="n">
        <f aca="false">PL!O43</f>
        <v>0.225046548381498</v>
      </c>
      <c r="P12" s="65" t="n">
        <f aca="false">PL!P43</f>
        <v>0.259668110498211</v>
      </c>
      <c r="Q12" s="65" t="n">
        <f aca="false">PL!Q43</f>
        <v>0.0990276338472548</v>
      </c>
      <c r="R12" s="65" t="n">
        <f aca="false">PL!R43</f>
        <v>0.172807705143853</v>
      </c>
      <c r="S12" s="65" t="n">
        <f aca="false">PL!S43</f>
        <v>0.186770696487151</v>
      </c>
      <c r="T12" s="65" t="n">
        <f aca="false">PL!T43</f>
        <v>0.152355276235876</v>
      </c>
      <c r="U12" s="65" t="n">
        <f aca="false">PL!U43</f>
        <v>-0.0760667329065508</v>
      </c>
      <c r="V12" s="65" t="n">
        <f aca="false">PL!V43</f>
        <v>0.177910386142235</v>
      </c>
      <c r="W12" s="65" t="n">
        <f aca="false">PL!W43</f>
        <v>0.136872997442418</v>
      </c>
      <c r="X12" s="65" t="n">
        <f aca="false">PL!X43</f>
        <v>0.00707498594048896</v>
      </c>
      <c r="Y12" s="65" t="n">
        <f aca="false">PL!Y43</f>
        <v>0.154811282718005</v>
      </c>
      <c r="Z12" s="65" t="n">
        <f aca="false">PL!Z43</f>
        <v>0.0766453743548589</v>
      </c>
      <c r="AA12" s="65" t="n">
        <f aca="false">PL!AA43</f>
        <v>0.110515911121989</v>
      </c>
      <c r="AB12" s="65" t="n">
        <f aca="false">PL!AB43</f>
        <v>0.173099314133696</v>
      </c>
    </row>
    <row r="13" customFormat="false" ht="15" hidden="false" customHeight="false" outlineLevel="0" collapsed="false">
      <c r="A13" s="29" t="s">
        <v>316</v>
      </c>
      <c r="B13" s="60" t="s">
        <v>31</v>
      </c>
      <c r="C13" s="63" t="n">
        <f aca="false">PL!C54</f>
        <v>0.671469193088841</v>
      </c>
      <c r="D13" s="63" t="n">
        <f aca="false">PL!D54</f>
        <v>0.693576212899141</v>
      </c>
      <c r="E13" s="65" t="n">
        <f aca="false">PL!E54</f>
        <v>0.825179422239932</v>
      </c>
      <c r="F13" s="65" t="n">
        <f aca="false">PL!F54</f>
        <v>0.779982061431586</v>
      </c>
      <c r="G13" s="65" t="n">
        <f aca="false">PL!G54</f>
        <v>0.622148080894512</v>
      </c>
      <c r="H13" s="65" t="n">
        <f aca="false">PL!H54</f>
        <v>0.729842622281278</v>
      </c>
      <c r="I13" s="65" t="n">
        <f aca="false">PL!I54</f>
        <v>0.74949216153452</v>
      </c>
      <c r="J13" s="65" t="n">
        <f aca="false">PL!J54</f>
        <v>0.609119965090872</v>
      </c>
      <c r="K13" s="65" t="n">
        <f aca="false">PL!K54</f>
        <v>0.678361778114626</v>
      </c>
      <c r="L13" s="65" t="n">
        <f aca="false">PL!L54</f>
        <v>0.819688123211165</v>
      </c>
      <c r="M13" s="65" t="n">
        <f aca="false">PL!M54</f>
        <v>0.590897607757309</v>
      </c>
      <c r="N13" s="65" t="n">
        <f aca="false">PL!N54</f>
        <v>0.629056667230551</v>
      </c>
      <c r="O13" s="65" t="n">
        <f aca="false">PL!O54</f>
        <v>0.605693528298908</v>
      </c>
      <c r="P13" s="65" t="n">
        <f aca="false">PL!P54</f>
        <v>0.5777218952132</v>
      </c>
      <c r="Q13" s="65" t="n">
        <f aca="false">PL!Q54</f>
        <v>0.677298389405592</v>
      </c>
      <c r="R13" s="65" t="n">
        <f aca="false">PL!R54</f>
        <v>0.652857305432604</v>
      </c>
      <c r="S13" s="65" t="n">
        <f aca="false">PL!S54</f>
        <v>0.637249509929393</v>
      </c>
      <c r="T13" s="65" t="n">
        <f aca="false">PL!T54</f>
        <v>0.648915059615505</v>
      </c>
      <c r="U13" s="65" t="n">
        <f aca="false">PL!U54</f>
        <v>0.862674919528735</v>
      </c>
      <c r="V13" s="65" t="n">
        <f aca="false">PL!V54</f>
        <v>0.649800093504325</v>
      </c>
      <c r="W13" s="65" t="n">
        <f aca="false">PL!W54</f>
        <v>0.683324517884405</v>
      </c>
      <c r="X13" s="65" t="n">
        <f aca="false">PL!X54</f>
        <v>0.797003572497436</v>
      </c>
      <c r="Y13" s="65" t="n">
        <f aca="false">PL!Y54</f>
        <v>0.668008051898964</v>
      </c>
      <c r="Z13" s="65" t="n">
        <f aca="false">PL!Z54</f>
        <v>0.741094360725416</v>
      </c>
      <c r="AA13" s="65" t="n">
        <f aca="false">PL!AA54</f>
        <v>0.712943247681618</v>
      </c>
      <c r="AB13" s="65" t="n">
        <f aca="false">PL!AB54</f>
        <v>0.658755942174783</v>
      </c>
    </row>
    <row r="14" customFormat="false" ht="15" hidden="false" customHeight="false" outlineLevel="0" collapsed="false">
      <c r="A14" s="29" t="s">
        <v>317</v>
      </c>
      <c r="B14" s="60" t="s">
        <v>31</v>
      </c>
      <c r="C14" s="61" t="n">
        <f aca="false">SUM(E14:P14)</f>
        <v>912882.484438358</v>
      </c>
      <c r="D14" s="61" t="n">
        <f aca="false">SUM(Q14:AB14)</f>
        <v>981860.366101296</v>
      </c>
      <c r="E14" s="62" t="n">
        <f aca="false">PL!E42</f>
        <v>-16379.8082763226</v>
      </c>
      <c r="F14" s="62" t="n">
        <f aca="false">PL!F42</f>
        <v>-19506.4113241147</v>
      </c>
      <c r="G14" s="62" t="n">
        <f aca="false">PL!G42</f>
        <v>123633.584277761</v>
      </c>
      <c r="H14" s="62" t="n">
        <f aca="false">PL!H42</f>
        <v>41466.283925764</v>
      </c>
      <c r="I14" s="62" t="n">
        <f aca="false">PL!I42</f>
        <v>28357.4721119841</v>
      </c>
      <c r="J14" s="62" t="n">
        <f aca="false">PL!J42</f>
        <v>160801.639637344</v>
      </c>
      <c r="K14" s="62" t="n">
        <f aca="false">PL!K42</f>
        <v>-51681.117039752</v>
      </c>
      <c r="L14" s="62" t="n">
        <f aca="false">PL!L42</f>
        <v>-14443.629531844</v>
      </c>
      <c r="M14" s="62" t="n">
        <f aca="false">PL!M42</f>
        <v>182927.640717865</v>
      </c>
      <c r="N14" s="62" t="n">
        <f aca="false">PL!N42</f>
        <v>119852.653109769</v>
      </c>
      <c r="O14" s="62" t="n">
        <f aca="false">PL!O42</f>
        <v>159639.297850249</v>
      </c>
      <c r="P14" s="62" t="n">
        <f aca="false">PL!P42</f>
        <v>198214.878979654</v>
      </c>
      <c r="Q14" s="62" t="n">
        <f aca="false">PL!Q42</f>
        <v>69149.9343895115</v>
      </c>
      <c r="R14" s="62" t="n">
        <f aca="false">PL!R42</f>
        <v>125176.727468633</v>
      </c>
      <c r="S14" s="62" t="n">
        <f aca="false">PL!S42</f>
        <v>134104.247096173</v>
      </c>
      <c r="T14" s="62" t="n">
        <f aca="false">PL!T42</f>
        <v>109264.731065614</v>
      </c>
      <c r="U14" s="62" t="n">
        <f aca="false">PL!U42</f>
        <v>-41029.8767705465</v>
      </c>
      <c r="V14" s="62" t="n">
        <f aca="false">PL!V42</f>
        <v>127384.190985536</v>
      </c>
      <c r="W14" s="62" t="n">
        <f aca="false">PL!W42</f>
        <v>93180.4777872741</v>
      </c>
      <c r="X14" s="62" t="n">
        <f aca="false">PL!X42</f>
        <v>4129.53269922786</v>
      </c>
      <c r="Y14" s="62" t="n">
        <f aca="false">PL!Y42</f>
        <v>111021.402236154</v>
      </c>
      <c r="Z14" s="62" t="n">
        <f aca="false">PL!Z42</f>
        <v>49526.9542332506</v>
      </c>
      <c r="AA14" s="62" t="n">
        <f aca="false">PL!AA42</f>
        <v>74206.8225210903</v>
      </c>
      <c r="AB14" s="62" t="n">
        <f aca="false">PL!AB42</f>
        <v>125745.222389378</v>
      </c>
    </row>
    <row r="15" customFormat="false" ht="15" hidden="false" customHeight="false" outlineLevel="0" collapsed="false">
      <c r="A15" s="29" t="s">
        <v>318</v>
      </c>
      <c r="B15" s="60" t="s">
        <v>31</v>
      </c>
      <c r="C15" s="61" t="n">
        <f aca="false">AVERAGE(E15:P15)</f>
        <v>223535.722903091</v>
      </c>
      <c r="D15" s="61" t="n">
        <f aca="false">AVERAGE(Q15:AB15)</f>
        <v>209368.438558155</v>
      </c>
      <c r="E15" s="62" t="n">
        <f aca="false">PL!E55</f>
        <v>183000.344</v>
      </c>
      <c r="F15" s="62" t="n">
        <f aca="false">PL!F55</f>
        <v>192071.233548387</v>
      </c>
      <c r="G15" s="62" t="n">
        <f aca="false">PL!G55</f>
        <v>235115.9625</v>
      </c>
      <c r="H15" s="62" t="n">
        <f aca="false">PL!H55</f>
        <v>209150.326451613</v>
      </c>
      <c r="I15" s="62" t="n">
        <f aca="false">PL!I55</f>
        <v>209579.40375</v>
      </c>
      <c r="J15" s="62" t="n">
        <f aca="false">PL!J55</f>
        <v>263080.75125</v>
      </c>
      <c r="K15" s="62" t="n">
        <f aca="false">PL!K55</f>
        <v>221329.39875</v>
      </c>
      <c r="L15" s="62" t="n">
        <f aca="false">PL!L55</f>
        <v>181382.34</v>
      </c>
      <c r="M15" s="62" t="n">
        <f aca="false">PL!M55</f>
        <v>261509.044541762</v>
      </c>
      <c r="N15" s="62" t="n">
        <f aca="false">PL!N55</f>
        <v>234033.340481759</v>
      </c>
      <c r="O15" s="62" t="n">
        <f aca="false">PL!O55</f>
        <v>237431.978890364</v>
      </c>
      <c r="P15" s="62" t="n">
        <f aca="false">PL!P55</f>
        <v>254744.550673213</v>
      </c>
      <c r="Q15" s="62" t="n">
        <f aca="false">PL!Q55</f>
        <v>222128.593394065</v>
      </c>
      <c r="R15" s="62" t="n">
        <f aca="false">PL!R55</f>
        <v>230530.971493785</v>
      </c>
      <c r="S15" s="62" t="n">
        <f aca="false">PL!S55</f>
        <v>228486.502783069</v>
      </c>
      <c r="T15" s="62" t="n">
        <f aca="false">PL!T55</f>
        <v>224039.395163306</v>
      </c>
      <c r="U15" s="62" t="n">
        <f aca="false">PL!U55</f>
        <v>168394.739154573</v>
      </c>
      <c r="V15" s="62" t="n">
        <f aca="false">PL!V55</f>
        <v>223916.951364865</v>
      </c>
      <c r="W15" s="62" t="n">
        <f aca="false">PL!W55</f>
        <v>212788.018752154</v>
      </c>
      <c r="X15" s="62" t="n">
        <f aca="false">PL!X55</f>
        <v>182571.081594051</v>
      </c>
      <c r="Y15" s="62" t="n">
        <f aca="false">PL!Y55</f>
        <v>212362.490648372</v>
      </c>
      <c r="Z15" s="62" t="n">
        <f aca="false">PL!Z55</f>
        <v>191842.563126042</v>
      </c>
      <c r="AA15" s="62" t="n">
        <f aca="false">PL!AA55</f>
        <v>199444.85396698</v>
      </c>
      <c r="AB15" s="62" t="n">
        <f aca="false">PL!AB55</f>
        <v>215915.101256596</v>
      </c>
    </row>
    <row r="16" customFormat="false" ht="15" hidden="false" customHeight="false" outlineLevel="0" collapsed="false">
      <c r="A16" s="23" t="s">
        <v>319</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row>
    <row r="17" customFormat="false" ht="15" hidden="false" customHeight="false" outlineLevel="0" collapsed="false">
      <c r="A17" s="29" t="s">
        <v>320</v>
      </c>
      <c r="B17" s="60" t="s">
        <v>56</v>
      </c>
      <c r="C17" s="63" t="n">
        <f aca="false">Capacity!C169</f>
        <v>0.699615496932586</v>
      </c>
      <c r="D17" s="63" t="n">
        <f aca="false">Capacity!D169</f>
        <v>0.66034983194751</v>
      </c>
      <c r="E17" s="65" t="n">
        <f aca="false">Capacity!E169</f>
        <v>0.596118611378978</v>
      </c>
      <c r="F17" s="65" t="n">
        <f aca="false">Capacity!F169</f>
        <v>0.645719095719096</v>
      </c>
      <c r="G17" s="65" t="n">
        <f aca="false">Capacity!G169</f>
        <v>0.733196215549157</v>
      </c>
      <c r="H17" s="65" t="n">
        <f aca="false">Capacity!H169</f>
        <v>0.714213564213564</v>
      </c>
      <c r="I17" s="65" t="n">
        <f aca="false">Capacity!I169</f>
        <v>0.766393889798145</v>
      </c>
      <c r="J17" s="65" t="n">
        <f aca="false">Capacity!J169</f>
        <v>0.742073948151296</v>
      </c>
      <c r="K17" s="65" t="n">
        <f aca="false">Capacity!K169</f>
        <v>0.626706114398422</v>
      </c>
      <c r="L17" s="65" t="n">
        <f aca="false">Capacity!L169</f>
        <v>0.645369433198381</v>
      </c>
      <c r="M17" s="65" t="n">
        <f aca="false">Capacity!M169</f>
        <v>0.736498719298478</v>
      </c>
      <c r="N17" s="65" t="n">
        <f aca="false">Capacity!N169</f>
        <v>0.69209599643478</v>
      </c>
      <c r="O17" s="65" t="n">
        <f aca="false">Capacity!O169</f>
        <v>0.732512764900228</v>
      </c>
      <c r="P17" s="65" t="n">
        <f aca="false">Capacity!P169</f>
        <v>0.747938076908751</v>
      </c>
      <c r="Q17" s="65" t="n">
        <f aca="false">Capacity!Q169</f>
        <v>0.743343091819484</v>
      </c>
      <c r="R17" s="65" t="n">
        <f aca="false">Capacity!R169</f>
        <v>0.747722726403476</v>
      </c>
      <c r="S17" s="65" t="n">
        <f aca="false">Capacity!S169</f>
        <v>0.716595405615998</v>
      </c>
      <c r="T17" s="65" t="n">
        <f aca="false">Capacity!T169</f>
        <v>0.671971693608424</v>
      </c>
      <c r="U17" s="65" t="n">
        <f aca="false">Capacity!U169</f>
        <v>0.663390277979392</v>
      </c>
      <c r="V17" s="65" t="n">
        <f aca="false">Capacity!V169</f>
        <v>0.652949814981637</v>
      </c>
      <c r="W17" s="65" t="n">
        <f aca="false">Capacity!W169</f>
        <v>0.640810477193761</v>
      </c>
      <c r="X17" s="65" t="n">
        <f aca="false">Capacity!X169</f>
        <v>0.629142684608392</v>
      </c>
      <c r="Y17" s="65" t="n">
        <f aca="false">Capacity!Y169</f>
        <v>0.630534805392897</v>
      </c>
      <c r="Z17" s="65" t="n">
        <f aca="false">Capacity!Z169</f>
        <v>0.622647796970561</v>
      </c>
      <c r="AA17" s="65" t="n">
        <f aca="false">Capacity!AA169</f>
        <v>0.618750292344893</v>
      </c>
      <c r="AB17" s="65" t="n">
        <f aca="false">Capacity!AB169</f>
        <v>0.618726711129359</v>
      </c>
    </row>
    <row r="18" customFormat="false" ht="15" hidden="false" customHeight="false" outlineLevel="0" collapsed="false">
      <c r="A18" s="29" t="s">
        <v>321</v>
      </c>
      <c r="B18" s="60" t="s">
        <v>56</v>
      </c>
      <c r="C18" s="63" t="n">
        <f aca="false">Capacity!C170</f>
        <v>0.740688325815096</v>
      </c>
      <c r="D18" s="63" t="n">
        <f aca="false">Capacity!D170</f>
        <v>0.748146042022551</v>
      </c>
      <c r="E18" s="65" t="n">
        <f aca="false">Capacity!E170</f>
        <v>0.736393442622951</v>
      </c>
      <c r="F18" s="65" t="n">
        <f aca="false">Capacity!F170</f>
        <v>0.736825396825397</v>
      </c>
      <c r="G18" s="65" t="n">
        <f aca="false">Capacity!G170</f>
        <v>0.739384615384616</v>
      </c>
      <c r="H18" s="65" t="n">
        <f aca="false">Capacity!H170</f>
        <v>0.736825396825397</v>
      </c>
      <c r="I18" s="65" t="n">
        <f aca="false">Capacity!I170</f>
        <v>0.739384615384615</v>
      </c>
      <c r="J18" s="65" t="n">
        <f aca="false">Capacity!J170</f>
        <v>0.739384615384615</v>
      </c>
      <c r="K18" s="65" t="n">
        <f aca="false">Capacity!K170</f>
        <v>0.739384615384615</v>
      </c>
      <c r="L18" s="65" t="n">
        <f aca="false">Capacity!L170</f>
        <v>0.739384615384615</v>
      </c>
      <c r="M18" s="65" t="n">
        <f aca="false">Capacity!M170</f>
        <v>0.743572995369242</v>
      </c>
      <c r="N18" s="65" t="n">
        <f aca="false">Capacity!N170</f>
        <v>0.745236912375339</v>
      </c>
      <c r="O18" s="65" t="n">
        <f aca="false">Capacity!O170</f>
        <v>0.744699066058436</v>
      </c>
      <c r="P18" s="65" t="n">
        <f aca="false">Capacity!P170</f>
        <v>0.744637675199042</v>
      </c>
      <c r="Q18" s="65" t="n">
        <f aca="false">Capacity!Q170</f>
        <v>0.746794116859649</v>
      </c>
      <c r="R18" s="65" t="n">
        <f aca="false">Capacity!R170</f>
        <v>0.746775834656436</v>
      </c>
      <c r="S18" s="65" t="n">
        <f aca="false">Capacity!S170</f>
        <v>0.746751090726072</v>
      </c>
      <c r="T18" s="65" t="n">
        <f aca="false">Capacity!T170</f>
        <v>0.746784069581484</v>
      </c>
      <c r="U18" s="65" t="n">
        <f aca="false">Capacity!U170</f>
        <v>0.746784425121396</v>
      </c>
      <c r="V18" s="65" t="n">
        <f aca="false">Capacity!V170</f>
        <v>0.74678455264779</v>
      </c>
      <c r="W18" s="65" t="n">
        <f aca="false">Capacity!W170</f>
        <v>0.746784374130897</v>
      </c>
      <c r="X18" s="65" t="n">
        <f aca="false">Capacity!X170</f>
        <v>0.746784364500224</v>
      </c>
      <c r="Y18" s="65" t="n">
        <f aca="false">Capacity!Y170</f>
        <v>0.750579607037252</v>
      </c>
      <c r="Z18" s="65" t="n">
        <f aca="false">Capacity!Z170</f>
        <v>0.750534593004287</v>
      </c>
      <c r="AA18" s="65" t="n">
        <f aca="false">Capacity!AA170</f>
        <v>0.750490088211414</v>
      </c>
      <c r="AB18" s="65" t="n">
        <f aca="false">Capacity!AB170</f>
        <v>0.750446083473724</v>
      </c>
    </row>
    <row r="19" customFormat="false" ht="15" hidden="false" customHeight="false" outlineLevel="0" collapsed="false">
      <c r="A19" s="29" t="s">
        <v>322</v>
      </c>
      <c r="B19" s="60" t="s">
        <v>56</v>
      </c>
      <c r="C19" s="63" t="n">
        <f aca="false">Capacity!C146</f>
        <v>0.327288970642522</v>
      </c>
      <c r="D19" s="63" t="n">
        <f aca="false">Capacity!D146</f>
        <v>0.347761056344601</v>
      </c>
      <c r="E19" s="65" t="n">
        <f aca="false">Capacity!E146</f>
        <v>0.225420168067227</v>
      </c>
      <c r="F19" s="65" t="n">
        <f aca="false">Capacity!F146</f>
        <v>0.25952380952381</v>
      </c>
      <c r="G19" s="65" t="n">
        <f aca="false">Capacity!G146</f>
        <v>0.315317035905271</v>
      </c>
      <c r="H19" s="65" t="n">
        <f aca="false">Capacity!H146</f>
        <v>0.306926406926407</v>
      </c>
      <c r="I19" s="65" t="n">
        <f aca="false">Capacity!I146</f>
        <v>0.356889564336373</v>
      </c>
      <c r="J19" s="65" t="n">
        <f aca="false">Capacity!J146</f>
        <v>0.343528018942384</v>
      </c>
      <c r="K19" s="65" t="n">
        <f aca="false">Capacity!K146</f>
        <v>0.298717948717949</v>
      </c>
      <c r="L19" s="65" t="n">
        <f aca="false">Capacity!L146</f>
        <v>0.315789473684211</v>
      </c>
      <c r="M19" s="65" t="n">
        <f aca="false">Capacity!M146</f>
        <v>0.377173936600756</v>
      </c>
      <c r="N19" s="65" t="n">
        <f aca="false">Capacity!N146</f>
        <v>0.350914867255522</v>
      </c>
      <c r="O19" s="65" t="n">
        <f aca="false">Capacity!O146</f>
        <v>0.379381352671884</v>
      </c>
      <c r="P19" s="65" t="n">
        <f aca="false">Capacity!P146</f>
        <v>0.385833554530765</v>
      </c>
      <c r="Q19" s="65" t="n">
        <f aca="false">Capacity!Q146</f>
        <v>0.390751817937725</v>
      </c>
      <c r="R19" s="65" t="n">
        <f aca="false">Capacity!R146</f>
        <v>0.397423553269898</v>
      </c>
      <c r="S19" s="65" t="n">
        <f aca="false">Capacity!S146</f>
        <v>0.369256786642797</v>
      </c>
      <c r="T19" s="65" t="n">
        <f aca="false">Capacity!T146</f>
        <v>0.353207715905084</v>
      </c>
      <c r="U19" s="65" t="n">
        <f aca="false">Capacity!U146</f>
        <v>0.349165508112876</v>
      </c>
      <c r="V19" s="65" t="n">
        <f aca="false">Capacity!V146</f>
        <v>0.343086698806788</v>
      </c>
      <c r="W19" s="65" t="n">
        <f aca="false">Capacity!W146</f>
        <v>0.337373376922587</v>
      </c>
      <c r="X19" s="65" t="n">
        <f aca="false">Capacity!X146</f>
        <v>0.331885508333893</v>
      </c>
      <c r="Y19" s="65" t="n">
        <f aca="false">Capacity!Y146</f>
        <v>0.331885508333893</v>
      </c>
      <c r="Z19" s="65" t="n">
        <f aca="false">Capacity!Z146</f>
        <v>0.327983774229847</v>
      </c>
      <c r="AA19" s="65" t="n">
        <f aca="false">Capacity!AA146</f>
        <v>0.326063432835821</v>
      </c>
      <c r="AB19" s="65" t="n">
        <f aca="false">Capacity!AB146</f>
        <v>0.326063432835821</v>
      </c>
    </row>
    <row r="20" customFormat="false" ht="15" hidden="false" customHeight="false" outlineLevel="0" collapsed="false">
      <c r="A20" s="29" t="s">
        <v>323</v>
      </c>
      <c r="B20" s="60" t="s">
        <v>56</v>
      </c>
      <c r="C20" s="63" t="n">
        <f aca="false">Capacity!C150</f>
        <v>0.533582559341707</v>
      </c>
      <c r="D20" s="63" t="n">
        <f aca="false">Capacity!D150</f>
        <v>0.528410945338993</v>
      </c>
      <c r="E20" s="65" t="n">
        <f aca="false">Capacity!E150</f>
        <v>0.398774509803922</v>
      </c>
      <c r="F20" s="65" t="n">
        <f aca="false">Capacity!F150</f>
        <v>0.453787878787879</v>
      </c>
      <c r="G20" s="65" t="n">
        <f aca="false">Capacity!G150</f>
        <v>0.527183600713013</v>
      </c>
      <c r="H20" s="65" t="n">
        <f aca="false">Capacity!H150</f>
        <v>0.515151515151515</v>
      </c>
      <c r="I20" s="65" t="n">
        <f aca="false">Capacity!I150</f>
        <v>0.607269503546099</v>
      </c>
      <c r="J20" s="65" t="n">
        <f aca="false">Capacity!J150</f>
        <v>0.587707182320442</v>
      </c>
      <c r="K20" s="65" t="n">
        <f aca="false">Capacity!K150</f>
        <v>0.478205128205128</v>
      </c>
      <c r="L20" s="65" t="n">
        <f aca="false">Capacity!L150</f>
        <v>0.493421052631579</v>
      </c>
      <c r="M20" s="65" t="n">
        <f aca="false">Capacity!M150</f>
        <v>0.609439139995552</v>
      </c>
      <c r="N20" s="65" t="n">
        <f aca="false">Capacity!N150</f>
        <v>0.564050406594189</v>
      </c>
      <c r="O20" s="65" t="n">
        <f aca="false">Capacity!O150</f>
        <v>0.577720492564486</v>
      </c>
      <c r="P20" s="65" t="n">
        <f aca="false">Capacity!P150</f>
        <v>0.582949280191954</v>
      </c>
      <c r="Q20" s="65" t="n">
        <f aca="false">Capacity!Q150</f>
        <v>0.587368764430172</v>
      </c>
      <c r="R20" s="65" t="n">
        <f aca="false">Capacity!R150</f>
        <v>0.600400418691068</v>
      </c>
      <c r="S20" s="65" t="n">
        <f aca="false">Capacity!S150</f>
        <v>0.565887057773358</v>
      </c>
      <c r="T20" s="65" t="n">
        <f aca="false">Capacity!T150</f>
        <v>0.539243980885393</v>
      </c>
      <c r="U20" s="65" t="n">
        <f aca="false">Capacity!U150</f>
        <v>0.532346967862888</v>
      </c>
      <c r="V20" s="65" t="n">
        <f aca="false">Capacity!V150</f>
        <v>0.5233708076986</v>
      </c>
      <c r="W20" s="65" t="n">
        <f aca="false">Capacity!W150</f>
        <v>0.513622452180828</v>
      </c>
      <c r="X20" s="65" t="n">
        <f aca="false">Capacity!X150</f>
        <v>0.504258776392601</v>
      </c>
      <c r="Y20" s="65" t="n">
        <f aca="false">Capacity!Y150</f>
        <v>0.504258776393048</v>
      </c>
      <c r="Z20" s="65" t="n">
        <f aca="false">Capacity!Z150</f>
        <v>0.497601442578168</v>
      </c>
      <c r="AA20" s="65" t="n">
        <f aca="false">Capacity!AA150</f>
        <v>0.494324860074629</v>
      </c>
      <c r="AB20" s="65" t="n">
        <f aca="false">Capacity!AB150</f>
        <v>0.494324860074627</v>
      </c>
    </row>
    <row r="21" customFormat="false" ht="15" hidden="false" customHeight="false" outlineLevel="0" collapsed="false">
      <c r="A21" s="29" t="s">
        <v>324</v>
      </c>
      <c r="B21" s="60" t="s">
        <v>56</v>
      </c>
      <c r="C21" s="63" t="n">
        <f aca="false">Capacity!C154</f>
        <v>0.711957667134877</v>
      </c>
      <c r="D21" s="63" t="n">
        <f aca="false">Capacity!D154</f>
        <v>0.668709027508588</v>
      </c>
      <c r="E21" s="65" t="n">
        <f aca="false">Capacity!E154</f>
        <v>0.634926470588235</v>
      </c>
      <c r="F21" s="65" t="n">
        <f aca="false">Capacity!F154</f>
        <v>0.652056277056277</v>
      </c>
      <c r="G21" s="65" t="n">
        <f aca="false">Capacity!G154</f>
        <v>0.731951871657754</v>
      </c>
      <c r="H21" s="65" t="n">
        <f aca="false">Capacity!H154</f>
        <v>0.690800865800866</v>
      </c>
      <c r="I21" s="65" t="n">
        <f aca="false">Capacity!I154</f>
        <v>0.827001013171226</v>
      </c>
      <c r="J21" s="65" t="n">
        <f aca="false">Capacity!J154</f>
        <v>0.788279400157853</v>
      </c>
      <c r="K21" s="65" t="n">
        <f aca="false">Capacity!K154</f>
        <v>0.622619047619048</v>
      </c>
      <c r="L21" s="65" t="n">
        <f aca="false">Capacity!L154</f>
        <v>0.631109022556391</v>
      </c>
      <c r="M21" s="65" t="n">
        <f aca="false">Capacity!M154</f>
        <v>0.738990804008752</v>
      </c>
      <c r="N21" s="65" t="n">
        <f aca="false">Capacity!N154</f>
        <v>0.684141385349264</v>
      </c>
      <c r="O21" s="65" t="n">
        <f aca="false">Capacity!O154</f>
        <v>0.761410531811749</v>
      </c>
      <c r="P21" s="65" t="n">
        <f aca="false">Capacity!P154</f>
        <v>0.775940218419022</v>
      </c>
      <c r="Q21" s="65" t="n">
        <f aca="false">Capacity!Q154</f>
        <v>0.778518660327255</v>
      </c>
      <c r="R21" s="65" t="n">
        <f aca="false">Capacity!R154</f>
        <v>0.783733090196814</v>
      </c>
      <c r="S21" s="65" t="n">
        <f aca="false">Capacity!S154</f>
        <v>0.734064980992755</v>
      </c>
      <c r="T21" s="65" t="n">
        <f aca="false">Capacity!T154</f>
        <v>0.669776019328114</v>
      </c>
      <c r="U21" s="65" t="n">
        <f aca="false">Capacity!U154</f>
        <v>0.662714598013808</v>
      </c>
      <c r="V21" s="65" t="n">
        <f aca="false">Capacity!V154</f>
        <v>0.653960546254027</v>
      </c>
      <c r="W21" s="65" t="n">
        <f aca="false">Capacity!W154</f>
        <v>0.643936494547585</v>
      </c>
      <c r="X21" s="65" t="n">
        <f aca="false">Capacity!X154</f>
        <v>0.634272919771571</v>
      </c>
      <c r="Y21" s="65" t="n">
        <f aca="false">Capacity!Y154</f>
        <v>0.634272543874708</v>
      </c>
      <c r="Z21" s="65" t="n">
        <f aca="false">Capacity!Z154</f>
        <v>0.627402440197752</v>
      </c>
      <c r="AA21" s="65" t="n">
        <f aca="false">Capacity!AA154</f>
        <v>0.624021233694836</v>
      </c>
      <c r="AB21" s="65" t="n">
        <f aca="false">Capacity!AB154</f>
        <v>0.624021236899856</v>
      </c>
    </row>
    <row r="22" customFormat="false" ht="15" hidden="false" customHeight="false" outlineLevel="0" collapsed="false">
      <c r="A22" s="29" t="s">
        <v>325</v>
      </c>
      <c r="B22" s="60" t="s">
        <v>56</v>
      </c>
      <c r="C22" s="63" t="n">
        <f aca="false">Capacity!C158</f>
        <v>0.800958694993539</v>
      </c>
      <c r="D22" s="63" t="n">
        <f aca="false">Capacity!D158</f>
        <v>0.732483629875602</v>
      </c>
      <c r="E22" s="65" t="n">
        <f aca="false">Capacity!E158</f>
        <v>0.666911764705882</v>
      </c>
      <c r="F22" s="65" t="n">
        <f aca="false">Capacity!F158</f>
        <v>0.739621212121212</v>
      </c>
      <c r="G22" s="65" t="n">
        <f aca="false">Capacity!G158</f>
        <v>0.839171122994653</v>
      </c>
      <c r="H22" s="65" t="n">
        <f aca="false">Capacity!H158</f>
        <v>0.83956228956229</v>
      </c>
      <c r="I22" s="65" t="n">
        <f aca="false">Capacity!I158</f>
        <v>0.889775413711584</v>
      </c>
      <c r="J22" s="65" t="n">
        <f aca="false">Capacity!J158</f>
        <v>0.861264579496624</v>
      </c>
      <c r="K22" s="65" t="n">
        <f aca="false">Capacity!K158</f>
        <v>0.698789173789174</v>
      </c>
      <c r="L22" s="65" t="n">
        <f aca="false">Capacity!L158</f>
        <v>0.72733918128655</v>
      </c>
      <c r="M22" s="65" t="n">
        <f aca="false">Capacity!M158</f>
        <v>0.87486072122988</v>
      </c>
      <c r="N22" s="65" t="n">
        <f aca="false">Capacity!N158</f>
        <v>0.808016980076057</v>
      </c>
      <c r="O22" s="65" t="n">
        <f aca="false">Capacity!O158</f>
        <v>0.825715657311202</v>
      </c>
      <c r="P22" s="65" t="n">
        <f aca="false">Capacity!P158</f>
        <v>0.849594345533649</v>
      </c>
      <c r="Q22" s="65" t="n">
        <f aca="false">Capacity!Q158</f>
        <v>0.8198565128738</v>
      </c>
      <c r="R22" s="65" t="n">
        <f aca="false">Capacity!R158</f>
        <v>0.829764163759194</v>
      </c>
      <c r="S22" s="65" t="n">
        <f aca="false">Capacity!S158</f>
        <v>0.801249546278762</v>
      </c>
      <c r="T22" s="65" t="n">
        <f aca="false">Capacity!T158</f>
        <v>0.745372054296636</v>
      </c>
      <c r="U22" s="65" t="n">
        <f aca="false">Capacity!U158</f>
        <v>0.73558246630943</v>
      </c>
      <c r="V22" s="65" t="n">
        <f aca="false">Capacity!V158</f>
        <v>0.723899578086262</v>
      </c>
      <c r="W22" s="65" t="n">
        <f aca="false">Capacity!W158</f>
        <v>0.710067691530658</v>
      </c>
      <c r="X22" s="65" t="n">
        <f aca="false">Capacity!X158</f>
        <v>0.696782540505096</v>
      </c>
      <c r="Y22" s="65" t="n">
        <f aca="false">Capacity!Y158</f>
        <v>0.696782561111791</v>
      </c>
      <c r="Z22" s="65" t="n">
        <f aca="false">Capacity!Z158</f>
        <v>0.687337118894831</v>
      </c>
      <c r="AA22" s="65" t="n">
        <f aca="false">Capacity!AA158</f>
        <v>0.682688291734479</v>
      </c>
      <c r="AB22" s="65" t="n">
        <f aca="false">Capacity!AB158</f>
        <v>0.682688291523518</v>
      </c>
    </row>
    <row r="23" customFormat="false" ht="15" hidden="false" customHeight="false" outlineLevel="0" collapsed="false">
      <c r="A23" s="29" t="s">
        <v>326</v>
      </c>
      <c r="B23" s="60" t="s">
        <v>56</v>
      </c>
      <c r="C23" s="63" t="n">
        <f aca="false">Capacity!C162</f>
        <v>0.77478695200046</v>
      </c>
      <c r="D23" s="63" t="n">
        <f aca="false">Capacity!D162</f>
        <v>0.713749702747597</v>
      </c>
      <c r="E23" s="65" t="n">
        <f aca="false">Capacity!E162</f>
        <v>0.714705882352941</v>
      </c>
      <c r="F23" s="65" t="n">
        <f aca="false">Capacity!F162</f>
        <v>0.763731060606061</v>
      </c>
      <c r="G23" s="65" t="n">
        <f aca="false">Capacity!G162</f>
        <v>0.847593582887701</v>
      </c>
      <c r="H23" s="65" t="n">
        <f aca="false">Capacity!H162</f>
        <v>0.831818181818182</v>
      </c>
      <c r="I23" s="65" t="n">
        <f aca="false">Capacity!I162</f>
        <v>0.803989361702128</v>
      </c>
      <c r="J23" s="65" t="n">
        <f aca="false">Capacity!J162</f>
        <v>0.788259668508287</v>
      </c>
      <c r="K23" s="65" t="n">
        <f aca="false">Capacity!K162</f>
        <v>0.724038461538462</v>
      </c>
      <c r="L23" s="65" t="n">
        <f aca="false">Capacity!L162</f>
        <v>0.742516447368421</v>
      </c>
      <c r="M23" s="65" t="n">
        <f aca="false">Capacity!M162</f>
        <v>0.769360674589457</v>
      </c>
      <c r="N23" s="65" t="n">
        <f aca="false">Capacity!N162</f>
        <v>0.7344394989259</v>
      </c>
      <c r="O23" s="65" t="n">
        <f aca="false">Capacity!O162</f>
        <v>0.784109349720502</v>
      </c>
      <c r="P23" s="65" t="n">
        <f aca="false">Capacity!P162</f>
        <v>0.798492599655873</v>
      </c>
      <c r="Q23" s="65" t="n">
        <f aca="false">Capacity!Q162</f>
        <v>0.797352473206089</v>
      </c>
      <c r="R23" s="65" t="n">
        <f aca="false">Capacity!R162</f>
        <v>0.793288435024576</v>
      </c>
      <c r="S23" s="65" t="n">
        <f aca="false">Capacity!S162</f>
        <v>0.771569018375647</v>
      </c>
      <c r="T23" s="65" t="n">
        <f aca="false">Capacity!T162</f>
        <v>0.736666270271776</v>
      </c>
      <c r="U23" s="65" t="n">
        <f aca="false">Capacity!U162</f>
        <v>0.726337304037203</v>
      </c>
      <c r="V23" s="65" t="n">
        <f aca="false">Capacity!V162</f>
        <v>0.714178529704522</v>
      </c>
      <c r="W23" s="65" t="n">
        <f aca="false">Capacity!W162</f>
        <v>0.699579133831914</v>
      </c>
      <c r="X23" s="65" t="n">
        <f aca="false">Capacity!X162</f>
        <v>0.685555849920924</v>
      </c>
      <c r="Y23" s="65" t="n">
        <f aca="false">Capacity!Y162</f>
        <v>0.681198593211327</v>
      </c>
      <c r="Z23" s="65" t="n">
        <f aca="false">Capacity!Z162</f>
        <v>0.672729077756194</v>
      </c>
      <c r="AA23" s="65" t="n">
        <f aca="false">Capacity!AA162</f>
        <v>0.668560584856306</v>
      </c>
      <c r="AB23" s="65" t="n">
        <f aca="false">Capacity!AB162</f>
        <v>0.668583280439379</v>
      </c>
    </row>
    <row r="24" customFormat="false" ht="15" hidden="false" customHeight="false" outlineLevel="0" collapsed="false">
      <c r="A24" s="29" t="s">
        <v>327</v>
      </c>
      <c r="B24" s="60" t="s">
        <v>47</v>
      </c>
      <c r="C24" s="63" t="n">
        <f aca="false">Time_to_Cash!C18</f>
        <v>0.934943506687088</v>
      </c>
      <c r="D24" s="63" t="n">
        <f aca="false">Time_to_Cash!D18</f>
        <v>0.924143363274331</v>
      </c>
      <c r="E24" s="65" t="n">
        <f aca="false">Time_to_Cash!E18</f>
        <v>0.927811858268426</v>
      </c>
      <c r="F24" s="65" t="n">
        <f aca="false">Time_to_Cash!F18</f>
        <v>0.930220852955404</v>
      </c>
      <c r="G24" s="65" t="n">
        <f aca="false">Time_to_Cash!G18</f>
        <v>0.932354010879841</v>
      </c>
      <c r="H24" s="65" t="n">
        <f aca="false">Time_to_Cash!H18</f>
        <v>0.931331045431956</v>
      </c>
      <c r="I24" s="65" t="n">
        <f aca="false">Time_to_Cash!I18</f>
        <v>0.932954134225907</v>
      </c>
      <c r="J24" s="65" t="n">
        <f aca="false">Time_to_Cash!J18</f>
        <v>0.933376894044008</v>
      </c>
      <c r="K24" s="65" t="n">
        <f aca="false">Time_to_Cash!K18</f>
        <v>0.938129694849373</v>
      </c>
      <c r="L24" s="65" t="n">
        <f aca="false">Time_to_Cash!L18</f>
        <v>0.940475052543906</v>
      </c>
      <c r="M24" s="65" t="n">
        <f aca="false">Time_to_Cash!M18</f>
        <v>0.939160578889913</v>
      </c>
      <c r="N24" s="65" t="n">
        <f aca="false">Time_to_Cash!N18</f>
        <v>0.939951802944592</v>
      </c>
      <c r="O24" s="65" t="n">
        <f aca="false">Time_to_Cash!O18</f>
        <v>0.93461725824633</v>
      </c>
      <c r="P24" s="65" t="n">
        <f aca="false">Time_to_Cash!P18</f>
        <v>0.935949791600917</v>
      </c>
      <c r="Q24" s="65" t="n">
        <f aca="false">Time_to_Cash!Q18</f>
        <v>0.929895626302474</v>
      </c>
      <c r="R24" s="65" t="n">
        <f aca="false">Time_to_Cash!R18</f>
        <v>0.929773659306087</v>
      </c>
      <c r="S24" s="65" t="n">
        <f aca="false">Time_to_Cash!S18</f>
        <v>0.928477205658208</v>
      </c>
      <c r="T24" s="65" t="n">
        <f aca="false">Time_to_Cash!T18</f>
        <v>0.92643245771933</v>
      </c>
      <c r="U24" s="65" t="n">
        <f aca="false">Time_to_Cash!U18</f>
        <v>0.925881217739296</v>
      </c>
      <c r="V24" s="65" t="n">
        <f aca="false">Time_to_Cash!V18</f>
        <v>0.923755768945179</v>
      </c>
      <c r="W24" s="65" t="n">
        <f aca="false">Time_to_Cash!W18</f>
        <v>0.923022575167619</v>
      </c>
      <c r="X24" s="65" t="n">
        <f aca="false">Time_to_Cash!X18</f>
        <v>0.920634516141336</v>
      </c>
      <c r="Y24" s="65" t="n">
        <f aca="false">Time_to_Cash!Y18</f>
        <v>0.920609473056237</v>
      </c>
      <c r="Z24" s="65" t="n">
        <f aca="false">Time_to_Cash!Z18</f>
        <v>0.920617422570215</v>
      </c>
      <c r="AA24" s="65" t="n">
        <f aca="false">Time_to_Cash!AA18</f>
        <v>0.92</v>
      </c>
      <c r="AB24" s="65" t="n">
        <f aca="false">Time_to_Cash!AB18</f>
        <v>0.92</v>
      </c>
    </row>
    <row r="25" customFormat="false" ht="15" hidden="false" customHeight="false" outlineLevel="0" collapsed="false">
      <c r="A25" s="29" t="s">
        <v>328</v>
      </c>
      <c r="B25" s="60" t="s">
        <v>47</v>
      </c>
      <c r="C25" s="63" t="n">
        <f aca="false">Time_to_Cash!C19</f>
        <v>0.952217080598035</v>
      </c>
      <c r="D25" s="63" t="n">
        <f aca="false">Time_to_Cash!D19</f>
        <v>0.956630188406011</v>
      </c>
      <c r="E25" s="65" t="n">
        <f aca="false">Time_to_Cash!E19</f>
        <v>0.970861502420848</v>
      </c>
      <c r="F25" s="65" t="n">
        <f aca="false">Time_to_Cash!F19</f>
        <v>0.956473875104922</v>
      </c>
      <c r="G25" s="65" t="n">
        <f aca="false">Time_to_Cash!G19</f>
        <v>0.93070280865071</v>
      </c>
      <c r="H25" s="65" t="n">
        <f aca="false">Time_to_Cash!H19</f>
        <v>0.930260438279641</v>
      </c>
      <c r="I25" s="65" t="n">
        <f aca="false">Time_to_Cash!I19</f>
        <v>0.949941740323306</v>
      </c>
      <c r="J25" s="65" t="n">
        <f aca="false">Time_to_Cash!J19</f>
        <v>0.957728931047116</v>
      </c>
      <c r="K25" s="65" t="n">
        <f aca="false">Time_to_Cash!K19</f>
        <v>0.938009573983262</v>
      </c>
      <c r="L25" s="65" t="n">
        <f aca="false">Time_to_Cash!L19</f>
        <v>0.96270150717646</v>
      </c>
      <c r="M25" s="65" t="n">
        <f aca="false">Time_to_Cash!M19</f>
        <v>0.937978222537211</v>
      </c>
      <c r="N25" s="65" t="n">
        <f aca="false">Time_to_Cash!N19</f>
        <v>0.966135267809267</v>
      </c>
      <c r="O25" s="65" t="n">
        <f aca="false">Time_to_Cash!O19</f>
        <v>0.965525484270284</v>
      </c>
      <c r="P25" s="65" t="n">
        <f aca="false">Time_to_Cash!P19</f>
        <v>0.964833856331963</v>
      </c>
      <c r="Q25" s="65" t="n">
        <f aca="false">Time_to_Cash!Q19</f>
        <v>0.955385786946943</v>
      </c>
      <c r="R25" s="65" t="n">
        <f aca="false">Time_to_Cash!R19</f>
        <v>0.955403101280183</v>
      </c>
      <c r="S25" s="65" t="n">
        <f aca="false">Time_to_Cash!S19</f>
        <v>0.955541036203587</v>
      </c>
      <c r="T25" s="65" t="n">
        <f aca="false">Time_to_Cash!T19</f>
        <v>0.956358900273707</v>
      </c>
      <c r="U25" s="65" t="n">
        <f aca="false">Time_to_Cash!U19</f>
        <v>0.955673498658382</v>
      </c>
      <c r="V25" s="65" t="n">
        <f aca="false">Time_to_Cash!V19</f>
        <v>0.955228361170923</v>
      </c>
      <c r="W25" s="65" t="n">
        <f aca="false">Time_to_Cash!W19</f>
        <v>0.955340205733431</v>
      </c>
      <c r="X25" s="65" t="n">
        <f aca="false">Time_to_Cash!X19</f>
        <v>0.955496216966169</v>
      </c>
      <c r="Y25" s="65" t="n">
        <f aca="false">Time_to_Cash!Y19</f>
        <v>0.95567385460964</v>
      </c>
      <c r="Z25" s="65" t="n">
        <f aca="false">Time_to_Cash!Z19</f>
        <v>0.959401722636293</v>
      </c>
      <c r="AA25" s="65" t="n">
        <f aca="false">Time_to_Cash!AA19</f>
        <v>0.96</v>
      </c>
      <c r="AB25" s="65" t="n">
        <f aca="false">Time_to_Cash!AB19</f>
        <v>0.96</v>
      </c>
    </row>
    <row r="26" customFormat="false" ht="15" hidden="false" customHeight="false" outlineLevel="0" collapsed="false">
      <c r="A26" s="29" t="s">
        <v>329</v>
      </c>
      <c r="B26" s="60" t="s">
        <v>47</v>
      </c>
      <c r="C26" s="63" t="n">
        <f aca="false">Time_to_Cash!C20</f>
        <v>0.890269176461668</v>
      </c>
      <c r="D26" s="63" t="n">
        <f aca="false">Time_to_Cash!D20</f>
        <v>0.884063439723288</v>
      </c>
      <c r="E26" s="65" t="n">
        <f aca="false">Time_to_Cash!E20</f>
        <v>0.900776814682363</v>
      </c>
      <c r="F26" s="65" t="n">
        <f aca="false">Time_to_Cash!F20</f>
        <v>0.889731943929661</v>
      </c>
      <c r="G26" s="65" t="n">
        <f aca="false">Time_to_Cash!G20</f>
        <v>0.867744496582623</v>
      </c>
      <c r="H26" s="65" t="n">
        <f aca="false">Time_to_Cash!H20</f>
        <v>0.866380426506967</v>
      </c>
      <c r="I26" s="65" t="n">
        <f aca="false">Time_to_Cash!I20</f>
        <v>0.886252073908381</v>
      </c>
      <c r="J26" s="65" t="n">
        <f aca="false">Time_to_Cash!J20</f>
        <v>0.893922054996845</v>
      </c>
      <c r="K26" s="65" t="n">
        <f aca="false">Time_to_Cash!K20</f>
        <v>0.879974635406708</v>
      </c>
      <c r="L26" s="65" t="n">
        <f aca="false">Time_to_Cash!L20</f>
        <v>0.905396750545879</v>
      </c>
      <c r="M26" s="65" t="n">
        <f aca="false">Time_to_Cash!M20</f>
        <v>0.880912170464179</v>
      </c>
      <c r="N26" s="65" t="n">
        <f aca="false">Time_to_Cash!N20</f>
        <v>0.908120586865676</v>
      </c>
      <c r="O26" s="65" t="n">
        <f aca="false">Time_to_Cash!O20</f>
        <v>0.902396780875653</v>
      </c>
      <c r="P26" s="65" t="n">
        <f aca="false">Time_to_Cash!P20</f>
        <v>0.90303604676341</v>
      </c>
      <c r="Q26" s="65" t="n">
        <f aca="false">Time_to_Cash!Q20</f>
        <v>0.888409064713509</v>
      </c>
      <c r="R26" s="65" t="n">
        <f aca="false">Time_to_Cash!R20</f>
        <v>0.88830863758966</v>
      </c>
      <c r="S26" s="65" t="n">
        <f aca="false">Time_to_Cash!S20</f>
        <v>0.887198071186054</v>
      </c>
      <c r="T26" s="65" t="n">
        <f aca="false">Time_to_Cash!T20</f>
        <v>0.886001926442325</v>
      </c>
      <c r="U26" s="65" t="n">
        <f aca="false">Time_to_Cash!U20</f>
        <v>0.884840142698996</v>
      </c>
      <c r="V26" s="65" t="n">
        <f aca="false">Time_to_Cash!V20</f>
        <v>0.882397709291689</v>
      </c>
      <c r="W26" s="65" t="n">
        <f aca="false">Time_to_Cash!W20</f>
        <v>0.881800576857234</v>
      </c>
      <c r="X26" s="65" t="n">
        <f aca="false">Time_to_Cash!X20</f>
        <v>0.879662797381525</v>
      </c>
      <c r="Y26" s="65" t="n">
        <f aca="false">Time_to_Cash!Y20</f>
        <v>0.879802403705803</v>
      </c>
      <c r="Z26" s="65" t="n">
        <f aca="false">Time_to_Cash!Z20</f>
        <v>0.883241941102849</v>
      </c>
      <c r="AA26" s="65" t="n">
        <f aca="false">Time_to_Cash!AA20</f>
        <v>0.8832</v>
      </c>
      <c r="AB26" s="65" t="n">
        <f aca="false">Time_to_Cash!AB20</f>
        <v>0.8832</v>
      </c>
    </row>
    <row r="27" customFormat="false" ht="15" hidden="false" customHeight="false" outlineLevel="0" collapsed="false">
      <c r="A27" s="29" t="s">
        <v>330</v>
      </c>
      <c r="B27" s="60" t="s">
        <v>56</v>
      </c>
      <c r="C27" s="63" t="n">
        <f aca="false">Capacity!C172</f>
        <v>0.0486638590930208</v>
      </c>
      <c r="D27" s="63" t="n">
        <f aca="false">Capacity!D172</f>
        <v>0.00709417049600673</v>
      </c>
      <c r="E27" s="65" t="n">
        <f aca="false">Capacity!E172</f>
        <v>0.0182633898439671</v>
      </c>
      <c r="F27" s="65" t="n">
        <f aca="false">Capacity!F172</f>
        <v>0.0323987314401038</v>
      </c>
      <c r="G27" s="65" t="n">
        <f aca="false">Capacity!G172</f>
        <v>0.00737894355804305</v>
      </c>
      <c r="H27" s="65" t="n">
        <f aca="false">Capacity!H172</f>
        <v>0.0428967384298053</v>
      </c>
      <c r="I27" s="65" t="n">
        <f aca="false">Capacity!I172</f>
        <v>0.106332898629091</v>
      </c>
      <c r="J27" s="65" t="n">
        <f aca="false">Capacity!J172</f>
        <v>0.10876888525929</v>
      </c>
      <c r="K27" s="65" t="n">
        <f aca="false">Capacity!K172</f>
        <v>0.0494510425703772</v>
      </c>
      <c r="L27" s="65" t="n">
        <f aca="false">Capacity!L172</f>
        <v>0.0409851475841324</v>
      </c>
      <c r="M27" s="65" t="n">
        <f aca="false">Capacity!M172</f>
        <v>0.0774270190910607</v>
      </c>
      <c r="N27" s="65" t="n">
        <f aca="false">Capacity!N172</f>
        <v>0.0363297891936404</v>
      </c>
      <c r="O27" s="65" t="n">
        <f aca="false">Capacity!O172</f>
        <v>0.0103135734407479</v>
      </c>
      <c r="P27" s="65" t="n">
        <f aca="false">Capacity!P172</f>
        <v>0.0379474113749371</v>
      </c>
      <c r="Q27" s="65" t="n">
        <f aca="false">Capacity!Q172</f>
        <v>0.0399547375115042</v>
      </c>
      <c r="R27" s="65" t="n">
        <f aca="false">Capacity!R172</f>
        <v>0.0412712640155027</v>
      </c>
      <c r="S27" s="65" t="n">
        <f aca="false">Capacity!S172</f>
        <v>9.31473717202483E-005</v>
      </c>
      <c r="T27" s="65" t="n">
        <f aca="false">Capacity!T172</f>
        <v>0</v>
      </c>
      <c r="U27" s="65" t="n">
        <f aca="false">Capacity!U172</f>
        <v>0</v>
      </c>
      <c r="V27" s="65" t="n">
        <f aca="false">Capacity!V172</f>
        <v>0</v>
      </c>
      <c r="W27" s="65" t="n">
        <f aca="false">Capacity!W172</f>
        <v>0</v>
      </c>
      <c r="X27" s="65" t="n">
        <f aca="false">Capacity!X172</f>
        <v>0</v>
      </c>
      <c r="Y27" s="65" t="n">
        <f aca="false">Capacity!Y172</f>
        <v>0</v>
      </c>
      <c r="Z27" s="65" t="n">
        <f aca="false">Capacity!Z172</f>
        <v>0</v>
      </c>
      <c r="AA27" s="65" t="n">
        <f aca="false">Capacity!AA172</f>
        <v>0</v>
      </c>
      <c r="AB27" s="65" t="n">
        <f aca="false">Capacity!AB172</f>
        <v>0</v>
      </c>
    </row>
    <row r="28" customFormat="false" ht="15" hidden="false" customHeight="false" outlineLevel="0" collapsed="false">
      <c r="A28" s="29" t="s">
        <v>331</v>
      </c>
      <c r="B28" s="60" t="s">
        <v>56</v>
      </c>
      <c r="C28" s="66" t="n">
        <f aca="false">P28</f>
        <v>7.74924162492163</v>
      </c>
      <c r="D28" s="66" t="n">
        <f aca="false">AB28</f>
        <v>8.75219775981406</v>
      </c>
      <c r="E28" s="67" t="n">
        <f aca="false">Capacity!E173</f>
        <v>6.75</v>
      </c>
      <c r="F28" s="67" t="n">
        <f aca="false">Capacity!F173</f>
        <v>7</v>
      </c>
      <c r="G28" s="67" t="n">
        <f aca="false">Capacity!G173</f>
        <v>7.25</v>
      </c>
      <c r="H28" s="67" t="n">
        <f aca="false">Capacity!H173</f>
        <v>7</v>
      </c>
      <c r="I28" s="67" t="n">
        <f aca="false">Capacity!I173</f>
        <v>7.25</v>
      </c>
      <c r="J28" s="67" t="n">
        <f aca="false">Capacity!J173</f>
        <v>7.25</v>
      </c>
      <c r="K28" s="67" t="n">
        <f aca="false">Capacity!K173</f>
        <v>7.25</v>
      </c>
      <c r="L28" s="67" t="n">
        <f aca="false">Capacity!L173</f>
        <v>7.25</v>
      </c>
      <c r="M28" s="67" t="n">
        <f aca="false">Capacity!M173</f>
        <v>7.67291666666667</v>
      </c>
      <c r="N28" s="67" t="n">
        <f aca="false">Capacity!N173</f>
        <v>7.84046006944444</v>
      </c>
      <c r="O28" s="67" t="n">
        <f aca="false">Capacity!O173</f>
        <v>7.75582298900463</v>
      </c>
      <c r="P28" s="67" t="n">
        <f aca="false">Capacity!P173</f>
        <v>7.74924162492163</v>
      </c>
      <c r="Q28" s="67" t="n">
        <f aca="false">Capacity!Q173</f>
        <v>8.12311762241819</v>
      </c>
      <c r="R28" s="67" t="n">
        <f aca="false">Capacity!R173</f>
        <v>8.12002268835926</v>
      </c>
      <c r="S28" s="67" t="n">
        <f aca="false">Capacity!S173</f>
        <v>8.11599030021369</v>
      </c>
      <c r="T28" s="67" t="n">
        <f aca="false">Capacity!T173</f>
        <v>8.27441988767778</v>
      </c>
      <c r="U28" s="67" t="n">
        <f aca="false">Capacity!U173</f>
        <v>8.27319332184322</v>
      </c>
      <c r="V28" s="67" t="n">
        <f aca="false">Capacity!V173</f>
        <v>8.2719416202964</v>
      </c>
      <c r="W28" s="67" t="n">
        <f aca="false">Capacity!W173</f>
        <v>8.27065396727204</v>
      </c>
      <c r="X28" s="67" t="n">
        <f aca="false">Capacity!X173</f>
        <v>8.27068446348773</v>
      </c>
      <c r="Y28" s="67" t="n">
        <f aca="false">Capacity!Y173</f>
        <v>8.77070492342274</v>
      </c>
      <c r="Z28" s="67" t="n">
        <f aca="false">Capacity!Z173</f>
        <v>8.76446509662583</v>
      </c>
      <c r="AA28" s="67" t="n">
        <f aca="false">Capacity!AA173</f>
        <v>8.7582927305415</v>
      </c>
      <c r="AB28" s="67" t="n">
        <f aca="false">Capacity!AB173</f>
        <v>8.75219775981406</v>
      </c>
    </row>
    <row r="29" customFormat="false" ht="15" hidden="false" customHeight="false" outlineLevel="0" collapsed="false">
      <c r="A29" s="29" t="s">
        <v>332</v>
      </c>
      <c r="B29" s="60" t="s">
        <v>58</v>
      </c>
      <c r="C29" s="66" t="n">
        <f aca="false">P29</f>
        <v>41.9969664996865</v>
      </c>
      <c r="D29" s="66" t="n">
        <f aca="false">AB29</f>
        <v>46.0087910392562</v>
      </c>
      <c r="E29" s="67" t="n">
        <f aca="false">People!E144</f>
        <v>38</v>
      </c>
      <c r="F29" s="67" t="n">
        <f aca="false">People!F144</f>
        <v>39</v>
      </c>
      <c r="G29" s="67" t="n">
        <f aca="false">People!G144</f>
        <v>40</v>
      </c>
      <c r="H29" s="67" t="n">
        <f aca="false">People!H144</f>
        <v>39</v>
      </c>
      <c r="I29" s="67" t="n">
        <f aca="false">People!I144</f>
        <v>40</v>
      </c>
      <c r="J29" s="67" t="n">
        <f aca="false">People!J144</f>
        <v>40</v>
      </c>
      <c r="K29" s="67" t="n">
        <f aca="false">People!K144</f>
        <v>40</v>
      </c>
      <c r="L29" s="67" t="n">
        <f aca="false">People!L144</f>
        <v>40</v>
      </c>
      <c r="M29" s="67" t="n">
        <f aca="false">People!M144</f>
        <v>41.6916666666667</v>
      </c>
      <c r="N29" s="67" t="n">
        <f aca="false">People!N144</f>
        <v>42.3618402777778</v>
      </c>
      <c r="O29" s="67" t="n">
        <f aca="false">People!O144</f>
        <v>42.0232919560185</v>
      </c>
      <c r="P29" s="67" t="n">
        <f aca="false">People!P144</f>
        <v>41.9969664996865</v>
      </c>
      <c r="Q29" s="67" t="n">
        <f aca="false">People!Q144</f>
        <v>43.4924704896728</v>
      </c>
      <c r="R29" s="67" t="n">
        <f aca="false">People!R144</f>
        <v>43.4800907534371</v>
      </c>
      <c r="S29" s="67" t="n">
        <f aca="false">People!S144</f>
        <v>43.4639612008548</v>
      </c>
      <c r="T29" s="67" t="n">
        <f aca="false">People!T144</f>
        <v>44.0976795507111</v>
      </c>
      <c r="U29" s="67" t="n">
        <f aca="false">People!U144</f>
        <v>44.0927732873729</v>
      </c>
      <c r="V29" s="67" t="n">
        <f aca="false">People!V144</f>
        <v>44.0877664811856</v>
      </c>
      <c r="W29" s="67" t="n">
        <f aca="false">People!W144</f>
        <v>44.0826158690882</v>
      </c>
      <c r="X29" s="67" t="n">
        <f aca="false">People!X144</f>
        <v>44.0827378539509</v>
      </c>
      <c r="Y29" s="67" t="n">
        <f aca="false">People!Y144</f>
        <v>46.0828196936909</v>
      </c>
      <c r="Z29" s="67" t="n">
        <f aca="false">People!Z144</f>
        <v>46.0578603865033</v>
      </c>
      <c r="AA29" s="67" t="n">
        <f aca="false">People!AA144</f>
        <v>46.033170922166</v>
      </c>
      <c r="AB29" s="67" t="n">
        <f aca="false">People!AB144</f>
        <v>46.0087910392562</v>
      </c>
    </row>
    <row r="30" customFormat="false" ht="15" hidden="false" customHeight="false" outlineLevel="0" collapsed="false">
      <c r="A30" s="23" t="s">
        <v>333</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row>
    <row r="31" customFormat="false" ht="15" hidden="false" customHeight="false" outlineLevel="0" collapsed="false">
      <c r="A31" s="29" t="s">
        <v>334</v>
      </c>
      <c r="B31" s="60" t="s">
        <v>47</v>
      </c>
      <c r="C31" s="66" t="n">
        <f aca="false">P31</f>
        <v>29.4248645798338</v>
      </c>
      <c r="D31" s="66" t="n">
        <f aca="false">AB31</f>
        <v>34.727941426001</v>
      </c>
      <c r="E31" s="67" t="n">
        <f aca="false">Time_to_Cash!E33</f>
        <v>28.1910813894426</v>
      </c>
      <c r="F31" s="67" t="n">
        <f aca="false">Time_to_Cash!F33</f>
        <v>27.1926965645088</v>
      </c>
      <c r="G31" s="67" t="n">
        <f aca="false">Time_to_Cash!G33</f>
        <v>31.902829714039</v>
      </c>
      <c r="H31" s="67" t="n">
        <f aca="false">Time_to_Cash!H33</f>
        <v>25.1987141562401</v>
      </c>
      <c r="I31" s="67" t="n">
        <f aca="false">Time_to_Cash!I33</f>
        <v>26.5199708680425</v>
      </c>
      <c r="J31" s="67" t="n">
        <f aca="false">Time_to_Cash!J33</f>
        <v>28.9383060086412</v>
      </c>
      <c r="K31" s="67" t="n">
        <f aca="false">Time_to_Cash!K33</f>
        <v>23.3347583151571</v>
      </c>
      <c r="L31" s="67" t="n">
        <f aca="false">Time_to_Cash!L33</f>
        <v>19.4450857053074</v>
      </c>
      <c r="M31" s="67" t="n">
        <f aca="false">Time_to_Cash!M33</f>
        <v>29.7232909805743</v>
      </c>
      <c r="N31" s="67" t="n">
        <f aca="false">Time_to_Cash!N33</f>
        <v>28.2401081468479</v>
      </c>
      <c r="O31" s="67" t="n">
        <f aca="false">Time_to_Cash!O33</f>
        <v>27.4760142002456</v>
      </c>
      <c r="P31" s="67" t="n">
        <f aca="false">Time_to_Cash!P33</f>
        <v>29.4248645798338</v>
      </c>
      <c r="Q31" s="67" t="n">
        <f aca="false">Time_to_Cash!Q33</f>
        <v>28.665724183706</v>
      </c>
      <c r="R31" s="67" t="n">
        <f aca="false">Time_to_Cash!R33</f>
        <v>27.8573188450347</v>
      </c>
      <c r="S31" s="67" t="n">
        <f aca="false">Time_to_Cash!S33</f>
        <v>29.2602718732414</v>
      </c>
      <c r="T31" s="67" t="n">
        <f aca="false">Time_to_Cash!T33</f>
        <v>29.7681880299882</v>
      </c>
      <c r="U31" s="67" t="n">
        <f aca="false">Time_to_Cash!U33</f>
        <v>24.306930990763</v>
      </c>
      <c r="V31" s="67" t="n">
        <f aca="false">Time_to_Cash!V33</f>
        <v>32.8327686670571</v>
      </c>
      <c r="W31" s="67" t="n">
        <f aca="false">Time_to_Cash!W33</f>
        <v>31.9514004255798</v>
      </c>
      <c r="X31" s="67" t="n">
        <f aca="false">Time_to_Cash!X33</f>
        <v>27.1780606118039</v>
      </c>
      <c r="Y31" s="67" t="n">
        <f aca="false">Time_to_Cash!Y33</f>
        <v>33.5237184168437</v>
      </c>
      <c r="Z31" s="67" t="n">
        <f aca="false">Time_to_Cash!Z33</f>
        <v>32.0424813568224</v>
      </c>
      <c r="AA31" s="67" t="n">
        <f aca="false">Time_to_Cash!AA33</f>
        <v>31.915749391453</v>
      </c>
      <c r="AB31" s="67" t="n">
        <f aca="false">Time_to_Cash!AB33</f>
        <v>34.727941426001</v>
      </c>
    </row>
    <row r="32" customFormat="false" ht="15" hidden="false" customHeight="false" outlineLevel="0" collapsed="false">
      <c r="A32" s="29" t="s">
        <v>335</v>
      </c>
      <c r="B32" s="60" t="s">
        <v>47</v>
      </c>
      <c r="C32" s="66" t="n">
        <f aca="false">P32</f>
        <v>45.1908218959346</v>
      </c>
      <c r="D32" s="66" t="n">
        <f aca="false">AB32</f>
        <v>42.0232044514868</v>
      </c>
      <c r="E32" s="67" t="n">
        <f aca="false">Time_to_Cash!E34</f>
        <v>44.0060153493058</v>
      </c>
      <c r="F32" s="67" t="n">
        <f aca="false">Time_to_Cash!F34</f>
        <v>38.6339247784405</v>
      </c>
      <c r="G32" s="67" t="n">
        <f aca="false">Time_to_Cash!G34</f>
        <v>40.9336847866524</v>
      </c>
      <c r="H32" s="67" t="n">
        <f aca="false">Time_to_Cash!H34</f>
        <v>42.4442136710368</v>
      </c>
      <c r="I32" s="67" t="n">
        <f aca="false">Time_to_Cash!I34</f>
        <v>39.5115628694387</v>
      </c>
      <c r="J32" s="67" t="n">
        <f aca="false">Time_to_Cash!J34</f>
        <v>42.4968811506655</v>
      </c>
      <c r="K32" s="67" t="n">
        <f aca="false">Time_to_Cash!K34</f>
        <v>44.8311432676395</v>
      </c>
      <c r="L32" s="67" t="n">
        <f aca="false">Time_to_Cash!L34</f>
        <v>42.6240951650454</v>
      </c>
      <c r="M32" s="67" t="n">
        <f aca="false">Time_to_Cash!M34</f>
        <v>43.7854810459009</v>
      </c>
      <c r="N32" s="67" t="n">
        <f aca="false">Time_to_Cash!N34</f>
        <v>50.113520355641</v>
      </c>
      <c r="O32" s="67" t="n">
        <f aca="false">Time_to_Cash!O34</f>
        <v>47.6566799237139</v>
      </c>
      <c r="P32" s="67" t="n">
        <f aca="false">Time_to_Cash!P34</f>
        <v>45.1908218959346</v>
      </c>
      <c r="Q32" s="67" t="n">
        <f aca="false">Time_to_Cash!Q34</f>
        <v>44.4036885624826</v>
      </c>
      <c r="R32" s="67" t="n">
        <f aca="false">Time_to_Cash!R34</f>
        <v>41.9168465030391</v>
      </c>
      <c r="S32" s="67" t="n">
        <f aca="false">Time_to_Cash!S34</f>
        <v>41.6362201438489</v>
      </c>
      <c r="T32" s="67" t="n">
        <f aca="false">Time_to_Cash!T34</f>
        <v>42.071995489691</v>
      </c>
      <c r="U32" s="67" t="n">
        <f aca="false">Time_to_Cash!U34</f>
        <v>45.8149743784972</v>
      </c>
      <c r="V32" s="67" t="n">
        <f aca="false">Time_to_Cash!V34</f>
        <v>38.8948082601612</v>
      </c>
      <c r="W32" s="67" t="n">
        <f aca="false">Time_to_Cash!W34</f>
        <v>44.8870054273154</v>
      </c>
      <c r="X32" s="67" t="n">
        <f aca="false">Time_to_Cash!X34</f>
        <v>47.4017735056728</v>
      </c>
      <c r="Y32" s="67" t="n">
        <f aca="false">Time_to_Cash!Y34</f>
        <v>40.6477071017147</v>
      </c>
      <c r="Z32" s="67" t="n">
        <f aca="false">Time_to_Cash!Z34</f>
        <v>45.1467202842826</v>
      </c>
      <c r="AA32" s="67" t="n">
        <f aca="false">Time_to_Cash!AA34</f>
        <v>42.6860167100964</v>
      </c>
      <c r="AB32" s="67" t="n">
        <f aca="false">Time_to_Cash!AB34</f>
        <v>42.0232044514868</v>
      </c>
    </row>
    <row r="33" customFormat="false" ht="15" hidden="false" customHeight="false" outlineLevel="0" collapsed="false">
      <c r="A33" s="29" t="s">
        <v>336</v>
      </c>
      <c r="B33" s="60" t="s">
        <v>47</v>
      </c>
      <c r="C33" s="66" t="n">
        <f aca="false">P33</f>
        <v>74.6156864757685</v>
      </c>
      <c r="D33" s="66" t="n">
        <f aca="false">AB33</f>
        <v>76.7511458774878</v>
      </c>
      <c r="E33" s="67" t="n">
        <f aca="false">Time_to_Cash!E35</f>
        <v>72.1970967387484</v>
      </c>
      <c r="F33" s="67" t="n">
        <f aca="false">Time_to_Cash!F35</f>
        <v>65.8266213429493</v>
      </c>
      <c r="G33" s="67" t="n">
        <f aca="false">Time_to_Cash!G35</f>
        <v>72.8365145006914</v>
      </c>
      <c r="H33" s="67" t="n">
        <f aca="false">Time_to_Cash!H35</f>
        <v>67.6429278272769</v>
      </c>
      <c r="I33" s="67" t="n">
        <f aca="false">Time_to_Cash!I35</f>
        <v>66.0315337374812</v>
      </c>
      <c r="J33" s="67" t="n">
        <f aca="false">Time_to_Cash!J35</f>
        <v>71.4351871593067</v>
      </c>
      <c r="K33" s="67" t="n">
        <f aca="false">Time_to_Cash!K35</f>
        <v>68.1659015827966</v>
      </c>
      <c r="L33" s="67" t="n">
        <f aca="false">Time_to_Cash!L35</f>
        <v>62.0691808703528</v>
      </c>
      <c r="M33" s="67" t="n">
        <f aca="false">Time_to_Cash!M35</f>
        <v>73.5087720264751</v>
      </c>
      <c r="N33" s="67" t="n">
        <f aca="false">Time_to_Cash!N35</f>
        <v>78.3536285024889</v>
      </c>
      <c r="O33" s="67" t="n">
        <f aca="false">Time_to_Cash!O35</f>
        <v>75.1326941239595</v>
      </c>
      <c r="P33" s="67" t="n">
        <f aca="false">Time_to_Cash!P35</f>
        <v>74.6156864757685</v>
      </c>
      <c r="Q33" s="67" t="n">
        <f aca="false">Time_to_Cash!Q35</f>
        <v>73.0694127461885</v>
      </c>
      <c r="R33" s="67" t="n">
        <f aca="false">Time_to_Cash!R35</f>
        <v>69.7741653480738</v>
      </c>
      <c r="S33" s="67" t="n">
        <f aca="false">Time_to_Cash!S35</f>
        <v>70.8964920170902</v>
      </c>
      <c r="T33" s="67" t="n">
        <f aca="false">Time_to_Cash!T35</f>
        <v>71.8401835196792</v>
      </c>
      <c r="U33" s="67" t="n">
        <f aca="false">Time_to_Cash!U35</f>
        <v>70.1219053692602</v>
      </c>
      <c r="V33" s="67" t="n">
        <f aca="false">Time_to_Cash!V35</f>
        <v>71.7275769272183</v>
      </c>
      <c r="W33" s="67" t="n">
        <f aca="false">Time_to_Cash!W35</f>
        <v>76.8384058528952</v>
      </c>
      <c r="X33" s="67" t="n">
        <f aca="false">Time_to_Cash!X35</f>
        <v>74.5798341174766</v>
      </c>
      <c r="Y33" s="67" t="n">
        <f aca="false">Time_to_Cash!Y35</f>
        <v>74.1714255185584</v>
      </c>
      <c r="Z33" s="67" t="n">
        <f aca="false">Time_to_Cash!Z35</f>
        <v>77.189201641105</v>
      </c>
      <c r="AA33" s="67" t="n">
        <f aca="false">Time_to_Cash!AA35</f>
        <v>74.6017661015494</v>
      </c>
      <c r="AB33" s="67" t="n">
        <f aca="false">Time_to_Cash!AB35</f>
        <v>76.7511458774878</v>
      </c>
    </row>
    <row r="34" customFormat="false" ht="15" hidden="false" customHeight="false" outlineLevel="0" collapsed="false">
      <c r="A34" s="29" t="s">
        <v>337</v>
      </c>
      <c r="B34" s="60" t="s">
        <v>34</v>
      </c>
      <c r="C34" s="61" t="n">
        <f aca="false">P34</f>
        <v>967669.938318941</v>
      </c>
      <c r="D34" s="61" t="n">
        <f aca="false">AB34</f>
        <v>1412060.20896387</v>
      </c>
      <c r="E34" s="62" t="n">
        <f aca="false">BS!E9</f>
        <v>1577178.87396667</v>
      </c>
      <c r="F34" s="62" t="n">
        <f aca="false">BS!F9</f>
        <v>1525510.87323333</v>
      </c>
      <c r="G34" s="62" t="n">
        <f aca="false">BS!G9</f>
        <v>1178074.13812333</v>
      </c>
      <c r="H34" s="62" t="n">
        <f aca="false">BS!H9</f>
        <v>1074424.97847667</v>
      </c>
      <c r="I34" s="62" t="n">
        <f aca="false">BS!I9</f>
        <v>1135132.32322667</v>
      </c>
      <c r="J34" s="62" t="n">
        <f aca="false">BS!J9</f>
        <v>621616.851991667</v>
      </c>
      <c r="K34" s="62" t="n">
        <f aca="false">BS!K9</f>
        <v>649515.345146667</v>
      </c>
      <c r="L34" s="62" t="n">
        <f aca="false">BS!L9</f>
        <v>710950.822251667</v>
      </c>
      <c r="M34" s="62" t="n">
        <f aca="false">BS!M9</f>
        <v>721565.813171793</v>
      </c>
      <c r="N34" s="62" t="n">
        <f aca="false">BS!N9</f>
        <v>703862.942306065</v>
      </c>
      <c r="O34" s="62" t="n">
        <f aca="false">BS!O9</f>
        <v>829790.89405412</v>
      </c>
      <c r="P34" s="62" t="n">
        <f aca="false">BS!P9</f>
        <v>967669.938318941</v>
      </c>
      <c r="Q34" s="62" t="n">
        <f aca="false">BS!Q9</f>
        <v>1140945.80185743</v>
      </c>
      <c r="R34" s="62" t="n">
        <f aca="false">BS!R9</f>
        <v>1233390.60972538</v>
      </c>
      <c r="S34" s="62" t="n">
        <f aca="false">BS!S9</f>
        <v>1118035.46530776</v>
      </c>
      <c r="T34" s="62" t="n">
        <f aca="false">BS!T9</f>
        <v>1111194.65840302</v>
      </c>
      <c r="U34" s="62" t="n">
        <f aca="false">BS!U9</f>
        <v>1190277.97040334</v>
      </c>
      <c r="V34" s="62" t="n">
        <f aca="false">BS!V9</f>
        <v>1041298.12120599</v>
      </c>
      <c r="W34" s="62" t="n">
        <f aca="false">BS!W9</f>
        <v>1048763.51074271</v>
      </c>
      <c r="X34" s="62" t="n">
        <f aca="false">BS!X9</f>
        <v>1130109.53520448</v>
      </c>
      <c r="Y34" s="62" t="n">
        <f aca="false">BS!Y9</f>
        <v>1225897.94817019</v>
      </c>
      <c r="Z34" s="62" t="n">
        <f aca="false">BS!Z9</f>
        <v>1252253.1620632</v>
      </c>
      <c r="AA34" s="62" t="n">
        <f aca="false">BS!AA9</f>
        <v>1361905.74951337</v>
      </c>
      <c r="AB34" s="62" t="n">
        <f aca="false">BS!AB9</f>
        <v>1412060.20896387</v>
      </c>
    </row>
    <row r="35" customFormat="false" ht="15" hidden="false" customHeight="false" outlineLevel="0" collapsed="false">
      <c r="A35" s="29" t="s">
        <v>338</v>
      </c>
      <c r="B35" s="60"/>
      <c r="C35" s="61" t="n">
        <f aca="false">P35</f>
        <v>367669.938318941</v>
      </c>
      <c r="D35" s="61" t="n">
        <f aca="false">AB35</f>
        <v>812060.208963874</v>
      </c>
      <c r="E35" s="62" t="n">
        <f aca="false">E34-Assumptions!$C$13</f>
        <v>977178.873966667</v>
      </c>
      <c r="F35" s="62" t="n">
        <f aca="false">F34-Assumptions!$C$13</f>
        <v>925510.873233333</v>
      </c>
      <c r="G35" s="62" t="n">
        <f aca="false">G34-Assumptions!$C$13</f>
        <v>578074.138123333</v>
      </c>
      <c r="H35" s="62" t="n">
        <f aca="false">H34-Assumptions!$C$13</f>
        <v>474424.978476667</v>
      </c>
      <c r="I35" s="62" t="n">
        <f aca="false">I34-Assumptions!$C$13</f>
        <v>535132.323226667</v>
      </c>
      <c r="J35" s="62" t="n">
        <f aca="false">J34-Assumptions!$C$13</f>
        <v>21616.8519916666</v>
      </c>
      <c r="K35" s="62" t="n">
        <f aca="false">K34-Assumptions!$C$13</f>
        <v>49515.3451466665</v>
      </c>
      <c r="L35" s="62" t="n">
        <f aca="false">L34-Assumptions!$C$13</f>
        <v>110950.822251667</v>
      </c>
      <c r="M35" s="62" t="n">
        <f aca="false">M34-Assumptions!$C$13</f>
        <v>121565.813171793</v>
      </c>
      <c r="N35" s="62" t="n">
        <f aca="false">N34-Assumptions!$C$13</f>
        <v>103862.942306065</v>
      </c>
      <c r="O35" s="62" t="n">
        <f aca="false">O34-Assumptions!$C$13</f>
        <v>229790.89405412</v>
      </c>
      <c r="P35" s="62" t="n">
        <f aca="false">P34-Assumptions!$C$13</f>
        <v>367669.938318941</v>
      </c>
      <c r="Q35" s="62" t="n">
        <f aca="false">Q34-Assumptions!$C$13</f>
        <v>540945.801857434</v>
      </c>
      <c r="R35" s="62" t="n">
        <f aca="false">R34-Assumptions!$C$13</f>
        <v>633390.609725384</v>
      </c>
      <c r="S35" s="62" t="n">
        <f aca="false">S34-Assumptions!$C$13</f>
        <v>518035.465307755</v>
      </c>
      <c r="T35" s="62" t="n">
        <f aca="false">T34-Assumptions!$C$13</f>
        <v>511194.658403025</v>
      </c>
      <c r="U35" s="62" t="n">
        <f aca="false">U34-Assumptions!$C$13</f>
        <v>590277.970403345</v>
      </c>
      <c r="V35" s="62" t="n">
        <f aca="false">V34-Assumptions!$C$13</f>
        <v>441298.121205995</v>
      </c>
      <c r="W35" s="62" t="n">
        <f aca="false">W34-Assumptions!$C$13</f>
        <v>448763.510742714</v>
      </c>
      <c r="X35" s="62" t="n">
        <f aca="false">X34-Assumptions!$C$13</f>
        <v>530109.535204478</v>
      </c>
      <c r="Y35" s="62" t="n">
        <f aca="false">Y34-Assumptions!$C$13</f>
        <v>625897.948170193</v>
      </c>
      <c r="Z35" s="62" t="n">
        <f aca="false">Z34-Assumptions!$C$13</f>
        <v>652253.162063202</v>
      </c>
      <c r="AA35" s="62" t="n">
        <f aca="false">AA34-Assumptions!$C$13</f>
        <v>761905.749513371</v>
      </c>
      <c r="AB35" s="62" t="n">
        <f aca="false">AB34-Assumptions!$C$13</f>
        <v>812060.208963874</v>
      </c>
    </row>
    <row r="36" customFormat="false" ht="15" hidden="false" customHeight="false" outlineLevel="0" collapsed="false">
      <c r="A36" s="29" t="s">
        <v>339</v>
      </c>
      <c r="B36" s="60" t="s">
        <v>36</v>
      </c>
      <c r="E36" s="62" t="n">
        <f aca="false">SUM(CF!E27:E27)</f>
        <v>134445.873966667</v>
      </c>
      <c r="F36" s="62" t="n">
        <f aca="false">SUM(CF!E27:F27)</f>
        <v>88744.8732333331</v>
      </c>
      <c r="G36" s="62" t="n">
        <f aca="false">SUM(CF!E27:G27)</f>
        <v>-249324.861876667</v>
      </c>
      <c r="H36" s="62" t="n">
        <f aca="false">SUM(CF!F27:H27)</f>
        <v>-480852.89549</v>
      </c>
      <c r="I36" s="62" t="n">
        <f aca="false">SUM(CF!G27:I27)</f>
        <v>-366177.550006667</v>
      </c>
      <c r="J36" s="62" t="n">
        <f aca="false">SUM(CF!H27:J27)</f>
        <v>-85256.2861316667</v>
      </c>
      <c r="K36" s="62" t="n">
        <f aca="false">SUM(CF!I27:K27)</f>
        <v>47791.3666699999</v>
      </c>
      <c r="L36" s="62" t="n">
        <f aca="false">SUM(CF!J27:L27)</f>
        <v>45919.4990250001</v>
      </c>
      <c r="M36" s="62" t="n">
        <f aca="false">SUM(CF!K27:M27)</f>
        <v>125249.961180127</v>
      </c>
      <c r="N36" s="62" t="n">
        <f aca="false">SUM(CF!L27:N27)</f>
        <v>80748.5971593982</v>
      </c>
      <c r="O36" s="62" t="n">
        <f aca="false">SUM(CF!M27:O27)</f>
        <v>146341.071802454</v>
      </c>
      <c r="P36" s="62" t="n">
        <f aca="false">SUM(CF!N27:P27)</f>
        <v>268805.125147148</v>
      </c>
      <c r="Q36" s="62" t="n">
        <f aca="false">SUM(CF!O27:Q27)</f>
        <v>461061.859551369</v>
      </c>
      <c r="R36" s="62" t="n">
        <f aca="false">SUM(CF!P27:R27)</f>
        <v>427656.715671264</v>
      </c>
      <c r="S36" s="62" t="n">
        <f aca="false">SUM(CF!Q27:S27)</f>
        <v>174500.526988814</v>
      </c>
      <c r="T36" s="62" t="n">
        <f aca="false">SUM(CF!R27:T27)</f>
        <v>-7656.14345440903</v>
      </c>
      <c r="U36" s="62" t="n">
        <f aca="false">SUM(CF!S27:U27)</f>
        <v>-21017.6393220391</v>
      </c>
      <c r="V36" s="62" t="n">
        <f aca="false">SUM(CF!T27:V27)</f>
        <v>262679.866458909</v>
      </c>
      <c r="W36" s="62" t="n">
        <f aca="false">SUM(CF!U27:W27)</f>
        <v>275426.062900358</v>
      </c>
      <c r="X36" s="62" t="n">
        <f aca="false">SUM(CF!V27:X27)</f>
        <v>277688.775361803</v>
      </c>
      <c r="Y36" s="62" t="n">
        <f aca="false">SUM(CF!W27:Y27)</f>
        <v>209934.826964198</v>
      </c>
      <c r="Z36" s="62" t="n">
        <f aca="false">SUM(CF!X27:Z27)</f>
        <v>228824.651320489</v>
      </c>
      <c r="AA36" s="62" t="n">
        <f aca="false">SUM(CF!Y27:AA27)</f>
        <v>257131.214308893</v>
      </c>
      <c r="AB36" s="62" t="n">
        <f aca="false">SUM(CF!Z27:AB27)</f>
        <v>206697.260793682</v>
      </c>
    </row>
    <row r="37" customFormat="false" ht="15" hidden="false" customHeight="false" outlineLevel="0" collapsed="false">
      <c r="A37" s="29" t="s">
        <v>340</v>
      </c>
      <c r="B37" s="60" t="s">
        <v>54</v>
      </c>
      <c r="C37" s="63" t="n">
        <f aca="false">AVERAGE(E37:P37)</f>
        <v>0.258006063308696</v>
      </c>
      <c r="D37" s="63" t="n">
        <f aca="false">AVERAGE(Q37:AB37)</f>
        <v>0.192075104703388</v>
      </c>
      <c r="E37" s="65" t="n">
        <f aca="false">Clients!E221</f>
        <v>0.284763205938945</v>
      </c>
      <c r="F37" s="65" t="n">
        <f aca="false">Clients!F221</f>
        <v>0.22672605749099</v>
      </c>
      <c r="G37" s="65" t="n">
        <f aca="false">Clients!G221</f>
        <v>0.225829169048843</v>
      </c>
      <c r="H37" s="65" t="n">
        <f aca="false">Clients!H221</f>
        <v>0.189204416642147</v>
      </c>
      <c r="I37" s="65" t="n">
        <f aca="false">Clients!I221</f>
        <v>0.203337266907242</v>
      </c>
      <c r="J37" s="65" t="n">
        <f aca="false">Clients!J221</f>
        <v>0.183451233480814</v>
      </c>
      <c r="K37" s="65" t="n">
        <f aca="false">Clients!K221</f>
        <v>0.248016395112042</v>
      </c>
      <c r="L37" s="65" t="n">
        <f aca="false">Clients!L221</f>
        <v>0.220420048775731</v>
      </c>
      <c r="M37" s="65" t="n">
        <f aca="false">Clients!M221</f>
        <v>0.320013883404388</v>
      </c>
      <c r="N37" s="65" t="n">
        <f aca="false">Clients!N221</f>
        <v>0.33952402290878</v>
      </c>
      <c r="O37" s="65" t="n">
        <f aca="false">Clients!O221</f>
        <v>0.334960836609744</v>
      </c>
      <c r="P37" s="65" t="n">
        <f aca="false">Clients!P221</f>
        <v>0.31982622338469</v>
      </c>
      <c r="Q37" s="65" t="n">
        <f aca="false">Clients!Q221</f>
        <v>0.307978244741337</v>
      </c>
      <c r="R37" s="65" t="n">
        <f aca="false">Clients!R221</f>
        <v>0.306167353804102</v>
      </c>
      <c r="S37" s="65" t="n">
        <f aca="false">Clients!S221</f>
        <v>0.331340787009512</v>
      </c>
      <c r="T37" s="65" t="n">
        <f aca="false">Clients!T221</f>
        <v>0.14531014451567</v>
      </c>
      <c r="U37" s="65" t="n">
        <f aca="false">Clients!U221</f>
        <v>0.147251718565731</v>
      </c>
      <c r="V37" s="65" t="n">
        <f aca="false">Clients!V221</f>
        <v>0.150267771164407</v>
      </c>
      <c r="W37" s="65" t="n">
        <f aca="false">Clients!W221</f>
        <v>0.153077472228567</v>
      </c>
      <c r="X37" s="65" t="n">
        <f aca="false">Clients!X221</f>
        <v>0.156345863283733</v>
      </c>
      <c r="Y37" s="65" t="n">
        <f aca="false">Clients!Y221</f>
        <v>0.150029263233826</v>
      </c>
      <c r="Z37" s="65" t="n">
        <f aca="false">Clients!Z221</f>
        <v>0.151684179127461</v>
      </c>
      <c r="AA37" s="65" t="n">
        <f aca="false">Clients!AA221</f>
        <v>0.152685947736792</v>
      </c>
      <c r="AB37" s="65" t="n">
        <f aca="false">Clients!AB221</f>
        <v>0.152762511029518</v>
      </c>
    </row>
    <row r="38" customFormat="false" ht="15" hidden="false" customHeight="false" outlineLevel="0" collapsed="false">
      <c r="A38" s="29" t="s">
        <v>341</v>
      </c>
      <c r="B38" s="60" t="s">
        <v>60</v>
      </c>
      <c r="C38" s="63" t="n">
        <f aca="false">Pipeline!C14</f>
        <v>0.0360470811386774</v>
      </c>
      <c r="D38" s="63" t="n">
        <f aca="false">Pipeline!D14</f>
        <v>0.86409209785364</v>
      </c>
      <c r="E38" s="65" t="n">
        <f aca="false">Pipeline!E14</f>
        <v>0</v>
      </c>
      <c r="F38" s="65" t="n">
        <f aca="false">Pipeline!F14</f>
        <v>0</v>
      </c>
      <c r="G38" s="65" t="n">
        <f aca="false">Pipeline!G14</f>
        <v>0</v>
      </c>
      <c r="H38" s="65" t="n">
        <f aca="false">Pipeline!H14</f>
        <v>0</v>
      </c>
      <c r="I38" s="65" t="n">
        <f aca="false">Pipeline!I14</f>
        <v>0</v>
      </c>
      <c r="J38" s="65" t="n">
        <f aca="false">Pipeline!J14</f>
        <v>0</v>
      </c>
      <c r="K38" s="65" t="n">
        <f aca="false">Pipeline!K14</f>
        <v>0</v>
      </c>
      <c r="L38" s="65" t="n">
        <f aca="false">Pipeline!L14</f>
        <v>0</v>
      </c>
      <c r="M38" s="65" t="n">
        <f aca="false">Pipeline!M14</f>
        <v>0</v>
      </c>
      <c r="N38" s="65" t="n">
        <f aca="false">Pipeline!N14</f>
        <v>0</v>
      </c>
      <c r="O38" s="65" t="n">
        <f aca="false">Pipeline!O14</f>
        <v>0.146221264030013</v>
      </c>
      <c r="P38" s="65" t="n">
        <f aca="false">Pipeline!P14</f>
        <v>0.225951465546193</v>
      </c>
      <c r="Q38" s="65" t="n">
        <f aca="false">Pipeline!Q14</f>
        <v>0.426328617292442</v>
      </c>
      <c r="R38" s="65" t="n">
        <f aca="false">Pipeline!R14</f>
        <v>0.477297432213275</v>
      </c>
      <c r="S38" s="65" t="n">
        <f aca="false">Pipeline!S14</f>
        <v>0.608668052172613</v>
      </c>
      <c r="T38" s="65" t="n">
        <f aca="false">Pipeline!T14</f>
        <v>0.936294660204498</v>
      </c>
      <c r="U38" s="65" t="n">
        <f aca="false">Pipeline!U14</f>
        <v>1</v>
      </c>
      <c r="V38" s="65" t="n">
        <f aca="false">Pipeline!V14</f>
        <v>1</v>
      </c>
      <c r="W38" s="65" t="n">
        <f aca="false">Pipeline!W14</f>
        <v>1</v>
      </c>
      <c r="X38" s="65" t="n">
        <f aca="false">Pipeline!X14</f>
        <v>1</v>
      </c>
      <c r="Y38" s="65" t="n">
        <f aca="false">Pipeline!Y14</f>
        <v>1</v>
      </c>
      <c r="Z38" s="65" t="n">
        <f aca="false">Pipeline!Z14</f>
        <v>1</v>
      </c>
      <c r="AA38" s="65" t="n">
        <f aca="false">Pipeline!AA14</f>
        <v>1</v>
      </c>
      <c r="AB38" s="65" t="n">
        <f aca="false">Pipeline!AB14</f>
        <v>1</v>
      </c>
    </row>
    <row r="39" customFormat="false" ht="15" hidden="false" customHeight="false" outlineLevel="0" collapsed="false">
      <c r="A39" s="29" t="s">
        <v>342</v>
      </c>
      <c r="B39" s="60" t="s">
        <v>60</v>
      </c>
      <c r="C39" s="61" t="n">
        <f aca="false">P39</f>
        <v>1011594.06187517</v>
      </c>
      <c r="D39" s="61" t="n">
        <f aca="false">AB39</f>
        <v>0</v>
      </c>
      <c r="E39" s="62" t="n">
        <f aca="false">Pipeline!E16</f>
        <v>7523778.93326748</v>
      </c>
      <c r="F39" s="62" t="n">
        <f aca="false">Pipeline!F16</f>
        <v>7030993.5062637</v>
      </c>
      <c r="G39" s="62" t="n">
        <f aca="false">Pipeline!G16</f>
        <v>6413571.26546708</v>
      </c>
      <c r="H39" s="62" t="n">
        <f aca="false">Pipeline!H16</f>
        <v>5878353.25220059</v>
      </c>
      <c r="I39" s="62" t="n">
        <f aca="false">Pipeline!I16</f>
        <v>5326609.20005988</v>
      </c>
      <c r="J39" s="62" t="n">
        <f aca="false">Pipeline!J16</f>
        <v>4631958.88608886</v>
      </c>
      <c r="K39" s="62" t="n">
        <f aca="false">Pipeline!K16</f>
        <v>4030493.56143955</v>
      </c>
      <c r="L39" s="62" t="n">
        <f aca="false">Pipeline!L16</f>
        <v>3549359.2277402</v>
      </c>
      <c r="M39" s="62" t="n">
        <f aca="false">Pipeline!M16</f>
        <v>2815136.26448857</v>
      </c>
      <c r="N39" s="62" t="n">
        <f aca="false">Pipeline!N16</f>
        <v>2144984.90904615</v>
      </c>
      <c r="O39" s="62" t="n">
        <f aca="false">Pipeline!O16</f>
        <v>1570234.04587599</v>
      </c>
      <c r="P39" s="62" t="n">
        <f aca="false">Pipeline!P16</f>
        <v>1011594.06187517</v>
      </c>
      <c r="Q39" s="62" t="n">
        <f aca="false">Pipeline!Q16</f>
        <v>663458.456705522</v>
      </c>
      <c r="R39" s="62" t="n">
        <f aca="false">Pipeline!R16</f>
        <v>307181.78213317</v>
      </c>
      <c r="S39" s="62" t="n">
        <f aca="false">Pipeline!S16</f>
        <v>42933.6950521818</v>
      </c>
      <c r="T39" s="62" t="n">
        <f aca="false">Pipeline!T16</f>
        <v>0</v>
      </c>
      <c r="U39" s="62" t="n">
        <f aca="false">Pipeline!U16</f>
        <v>0</v>
      </c>
      <c r="V39" s="62" t="n">
        <f aca="false">Pipeline!V16</f>
        <v>0</v>
      </c>
      <c r="W39" s="62" t="n">
        <f aca="false">Pipeline!W16</f>
        <v>0</v>
      </c>
      <c r="X39" s="62" t="n">
        <f aca="false">Pipeline!X16</f>
        <v>0</v>
      </c>
      <c r="Y39" s="62" t="n">
        <f aca="false">Pipeline!Y16</f>
        <v>0</v>
      </c>
      <c r="Z39" s="62" t="n">
        <f aca="false">Pipeline!Z16</f>
        <v>0</v>
      </c>
      <c r="AA39" s="62" t="n">
        <f aca="false">Pipeline!AA16</f>
        <v>0</v>
      </c>
      <c r="AB39" s="62" t="n">
        <f aca="false">Pipeline!AB16</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343</v>
      </c>
    </row>
    <row r="3" customFormat="false" ht="15" hidden="false" customHeight="false" outlineLevel="0" collapsed="false">
      <c r="A3" s="51" t="s">
        <v>344</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345</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346</v>
      </c>
      <c r="B9" s="60" t="s">
        <v>51</v>
      </c>
      <c r="C9" s="61" t="n">
        <f aca="false">SUM(E9:P9)</f>
        <v>1511643.16314216</v>
      </c>
      <c r="D9" s="61" t="n">
        <f aca="false">SUM(Q9:AB9)</f>
        <v>379418.726857836</v>
      </c>
      <c r="E9" s="62" t="n">
        <f aca="false">Engagements!E572</f>
        <v>102752.78</v>
      </c>
      <c r="F9" s="62" t="n">
        <f aca="false">Engagements!F572</f>
        <v>106412.8</v>
      </c>
      <c r="G9" s="62" t="n">
        <f aca="false">Engagements!G572</f>
        <v>151656.7</v>
      </c>
      <c r="H9" s="62" t="n">
        <f aca="false">Engagements!H572</f>
        <v>135348.27</v>
      </c>
      <c r="I9" s="62" t="n">
        <f aca="false">Engagements!I572</f>
        <v>120357.34</v>
      </c>
      <c r="J9" s="62" t="n">
        <f aca="false">Engagements!J572</f>
        <v>142838.26</v>
      </c>
      <c r="K9" s="62" t="n">
        <f aca="false">Engagements!K572</f>
        <v>137093.06</v>
      </c>
      <c r="L9" s="62" t="n">
        <f aca="false">Engagements!L572</f>
        <v>129676.44</v>
      </c>
      <c r="M9" s="62" t="n">
        <f aca="false">Engagements!M572</f>
        <v>132345.024460951</v>
      </c>
      <c r="N9" s="62" t="n">
        <f aca="false">Engagements!N572</f>
        <v>141090.137929266</v>
      </c>
      <c r="O9" s="62" t="n">
        <f aca="false">Engagements!O572</f>
        <v>106277.773409057</v>
      </c>
      <c r="P9" s="62" t="n">
        <f aca="false">Engagements!P572</f>
        <v>105794.57734289</v>
      </c>
      <c r="Q9" s="62" t="n">
        <f aca="false">Engagements!Q572</f>
        <v>70637.7903410598</v>
      </c>
      <c r="R9" s="62" t="n">
        <f aca="false">Engagements!R572</f>
        <v>73758.6429104529</v>
      </c>
      <c r="S9" s="62" t="n">
        <f aca="false">Engagements!S572</f>
        <v>79122.9078493949</v>
      </c>
      <c r="T9" s="62" t="n">
        <f aca="false">Engagements!T572</f>
        <v>54506.0510936436</v>
      </c>
      <c r="U9" s="62" t="n">
        <f aca="false">Engagements!U572</f>
        <v>41542.4497524527</v>
      </c>
      <c r="V9" s="62" t="n">
        <f aca="false">Engagements!V572</f>
        <v>39118.1262901425</v>
      </c>
      <c r="W9" s="62" t="n">
        <f aca="false">Engagements!W572</f>
        <v>20732.7586206897</v>
      </c>
      <c r="X9" s="62" t="n">
        <f aca="false">Engagements!X572</f>
        <v>0</v>
      </c>
      <c r="Y9" s="62" t="n">
        <f aca="false">Engagements!Y572</f>
        <v>0</v>
      </c>
      <c r="Z9" s="62" t="n">
        <f aca="false">Engagements!Z572</f>
        <v>0</v>
      </c>
      <c r="AA9" s="62" t="n">
        <f aca="false">Engagements!AA572</f>
        <v>0</v>
      </c>
      <c r="AB9" s="62" t="n">
        <f aca="false">Engagements!AB572</f>
        <v>0</v>
      </c>
    </row>
    <row r="10" customFormat="false" ht="15" hidden="false" customHeight="false" outlineLevel="0" collapsed="false">
      <c r="A10" s="29" t="s">
        <v>347</v>
      </c>
      <c r="B10" s="60" t="s">
        <v>51</v>
      </c>
      <c r="C10" s="61" t="n">
        <f aca="false">SUM(E10:P10)</f>
        <v>4527498.12386637</v>
      </c>
      <c r="D10" s="61" t="n">
        <f aca="false">SUM(Q10:AB10)</f>
        <v>6542293.65457088</v>
      </c>
      <c r="E10" s="62" t="n">
        <f aca="false">Engagements!E576</f>
        <v>313180.65</v>
      </c>
      <c r="F10" s="62" t="n">
        <f aca="false">Engagements!F576</f>
        <v>352599.55</v>
      </c>
      <c r="G10" s="62" t="n">
        <f aca="false">Engagements!G576</f>
        <v>406879.62</v>
      </c>
      <c r="H10" s="62" t="n">
        <f aca="false">Engagements!H576</f>
        <v>340026.17</v>
      </c>
      <c r="I10" s="62" t="n">
        <f aca="false">Engagements!I576</f>
        <v>383879.05</v>
      </c>
      <c r="J10" s="62" t="n">
        <f aca="false">Engagements!J576</f>
        <v>475476.89</v>
      </c>
      <c r="K10" s="62" t="n">
        <f aca="false">Engagements!K576</f>
        <v>301609.1</v>
      </c>
      <c r="L10" s="62" t="n">
        <f aca="false">Engagements!L576</f>
        <v>232745.98</v>
      </c>
      <c r="M10" s="62" t="n">
        <f aca="false">Engagements!M576</f>
        <v>392319.418843818</v>
      </c>
      <c r="N10" s="62" t="n">
        <f aca="false">Engagements!N576</f>
        <v>377941.220247448</v>
      </c>
      <c r="O10" s="62" t="n">
        <f aca="false">Engagements!O576</f>
        <v>452486.827903297</v>
      </c>
      <c r="P10" s="62" t="n">
        <f aca="false">Engagements!P576</f>
        <v>498353.646871804</v>
      </c>
      <c r="Q10" s="62" t="n">
        <f aca="false">Engagements!Q576</f>
        <v>452880.323272661</v>
      </c>
      <c r="R10" s="62" t="n">
        <f aca="false">Engagements!R576</f>
        <v>470202.378592459</v>
      </c>
      <c r="S10" s="62" t="n">
        <f aca="false">Engagements!S576</f>
        <v>483795.516969118</v>
      </c>
      <c r="T10" s="62" t="n">
        <f aca="false">Engagements!T576</f>
        <v>561413.969818937</v>
      </c>
      <c r="U10" s="62" t="n">
        <f aca="false">Engagements!U576</f>
        <v>420721.596867006</v>
      </c>
      <c r="V10" s="62" t="n">
        <f aca="false">Engagements!V576</f>
        <v>574366.801876523</v>
      </c>
      <c r="W10" s="62" t="n">
        <f aca="false">Engagements!W576</f>
        <v>561074.433028401</v>
      </c>
      <c r="X10" s="62" t="n">
        <f aca="false">Engagements!X576</f>
        <v>498163.728537828</v>
      </c>
      <c r="Y10" s="62" t="n">
        <f aca="false">Engagements!Y576</f>
        <v>614043.243919235</v>
      </c>
      <c r="Z10" s="62" t="n">
        <f aca="false">Engagements!Z576</f>
        <v>589615.646159178</v>
      </c>
      <c r="AA10" s="62" t="n">
        <f aca="false">Engagements!AA576</f>
        <v>632126.685039381</v>
      </c>
      <c r="AB10" s="62" t="n">
        <f aca="false">Engagements!AB576</f>
        <v>683889.330490152</v>
      </c>
    </row>
    <row r="11" customFormat="false" ht="15" hidden="false" customHeight="false" outlineLevel="0" collapsed="false">
      <c r="A11" s="29" t="s">
        <v>348</v>
      </c>
      <c r="B11" s="60" t="s">
        <v>51</v>
      </c>
      <c r="C11" s="61" t="n">
        <f aca="false">SUM(E11:P11)</f>
        <v>1215420.49607693</v>
      </c>
      <c r="D11" s="61" t="n">
        <f aca="false">SUM(Q11:AB11)</f>
        <v>733143.603923071</v>
      </c>
      <c r="E11" s="62" t="n">
        <f aca="false">Engagements!E580</f>
        <v>41567.43</v>
      </c>
      <c r="F11" s="62" t="n">
        <f aca="false">Engagements!F580</f>
        <v>37171.67</v>
      </c>
      <c r="G11" s="62" t="n">
        <f aca="false">Engagements!G580</f>
        <v>68439.58</v>
      </c>
      <c r="H11" s="62" t="n">
        <f aca="false">Engagements!H580</f>
        <v>64930.57</v>
      </c>
      <c r="I11" s="62" t="n">
        <f aca="false">Engagements!I580</f>
        <v>54642.02</v>
      </c>
      <c r="J11" s="62" t="n">
        <f aca="false">Engagements!J580</f>
        <v>83233.52</v>
      </c>
      <c r="K11" s="62" t="n">
        <f aca="false">Engagements!K580</f>
        <v>151509.57</v>
      </c>
      <c r="L11" s="62" t="n">
        <f aca="false">Engagements!L580</f>
        <v>121263.82</v>
      </c>
      <c r="M11" s="62" t="n">
        <f aca="false">Engagements!M580</f>
        <v>209558.519946859</v>
      </c>
      <c r="N11" s="62" t="n">
        <f aca="false">Engagements!N580</f>
        <v>151119.997265701</v>
      </c>
      <c r="O11" s="62" t="n">
        <f aca="false">Engagements!O580</f>
        <v>114420.193477819</v>
      </c>
      <c r="P11" s="62" t="n">
        <f aca="false">Engagements!P580</f>
        <v>117563.60538655</v>
      </c>
      <c r="Q11" s="62" t="n">
        <f aca="false">Engagements!Q580</f>
        <v>133472.931882227</v>
      </c>
      <c r="R11" s="62" t="n">
        <f aca="false">Engagements!R580</f>
        <v>137643.961003547</v>
      </c>
      <c r="S11" s="62" t="n">
        <f aca="false">Engagements!S580</f>
        <v>112334.614316299</v>
      </c>
      <c r="T11" s="62" t="n">
        <f aca="false">Engagements!T580</f>
        <v>58021.8368657675</v>
      </c>
      <c r="U11" s="62" t="n">
        <f aca="false">Engagements!U580</f>
        <v>44222.0486382336</v>
      </c>
      <c r="V11" s="62" t="n">
        <f aca="false">Engagements!V580</f>
        <v>59903.6261695221</v>
      </c>
      <c r="W11" s="62" t="n">
        <f aca="false">Engagements!W580</f>
        <v>58021.8368657675</v>
      </c>
      <c r="X11" s="62" t="n">
        <f aca="false">Engagements!X580</f>
        <v>50808.3112013747</v>
      </c>
      <c r="Y11" s="62" t="n">
        <f aca="false">Engagements!Y580</f>
        <v>59903.6261695221</v>
      </c>
      <c r="Z11" s="62" t="n">
        <f aca="false">Engagements!Z580</f>
        <v>18810.8108108108</v>
      </c>
      <c r="AA11" s="62" t="n">
        <f aca="false">Engagements!AA580</f>
        <v>0</v>
      </c>
      <c r="AB11" s="62" t="n">
        <f aca="false">Engagements!AB580</f>
        <v>0</v>
      </c>
    </row>
    <row r="12" customFormat="false" ht="15" hidden="false" customHeight="false" outlineLevel="0" collapsed="false">
      <c r="A12" s="68" t="s">
        <v>349</v>
      </c>
      <c r="B12" s="69"/>
      <c r="C12" s="70" t="n">
        <f aca="false">SUM(E12:P12)</f>
        <v>7254561.78308546</v>
      </c>
      <c r="D12" s="70" t="n">
        <f aca="false">SUM(Q12:AB12)</f>
        <v>7654855.98535179</v>
      </c>
      <c r="E12" s="70" t="n">
        <f aca="false">E9+E10+E11</f>
        <v>457500.86</v>
      </c>
      <c r="F12" s="70" t="n">
        <f aca="false">F9+F10+F11</f>
        <v>496184.02</v>
      </c>
      <c r="G12" s="70" t="n">
        <f aca="false">G9+G10+G11</f>
        <v>626975.9</v>
      </c>
      <c r="H12" s="70" t="n">
        <f aca="false">H9+H10+H11</f>
        <v>540305.01</v>
      </c>
      <c r="I12" s="70" t="n">
        <f aca="false">I9+I10+I11</f>
        <v>558878.41</v>
      </c>
      <c r="J12" s="70" t="n">
        <f aca="false">J9+J10+J11</f>
        <v>701548.67</v>
      </c>
      <c r="K12" s="70" t="n">
        <f aca="false">K9+K10+K11</f>
        <v>590211.73</v>
      </c>
      <c r="L12" s="70" t="n">
        <f aca="false">L9+L10+L11</f>
        <v>483686.24</v>
      </c>
      <c r="M12" s="70" t="n">
        <f aca="false">M9+M10+M11</f>
        <v>734222.963251627</v>
      </c>
      <c r="N12" s="70" t="n">
        <f aca="false">N9+N10+N11</f>
        <v>670151.355442415</v>
      </c>
      <c r="O12" s="70" t="n">
        <f aca="false">O9+O10+O11</f>
        <v>673184.794790173</v>
      </c>
      <c r="P12" s="70" t="n">
        <f aca="false">P9+P10+P11</f>
        <v>721711.829601243</v>
      </c>
      <c r="Q12" s="70" t="n">
        <f aca="false">Q9+Q10+Q11</f>
        <v>656991.045495947</v>
      </c>
      <c r="R12" s="70" t="n">
        <f aca="false">R9+R10+R11</f>
        <v>681604.982506459</v>
      </c>
      <c r="S12" s="70" t="n">
        <f aca="false">S9+S10+S11</f>
        <v>675253.039134812</v>
      </c>
      <c r="T12" s="70" t="n">
        <f aca="false">T9+T10+T11</f>
        <v>673941.857778348</v>
      </c>
      <c r="U12" s="70" t="n">
        <f aca="false">U9+U10+U11</f>
        <v>506486.095257692</v>
      </c>
      <c r="V12" s="70" t="n">
        <f aca="false">V9+V10+V11</f>
        <v>673388.554336188</v>
      </c>
      <c r="W12" s="70" t="n">
        <f aca="false">W9+W10+W11</f>
        <v>639829.028514858</v>
      </c>
      <c r="X12" s="70" t="n">
        <f aca="false">X9+X10+X11</f>
        <v>548972.039739203</v>
      </c>
      <c r="Y12" s="70" t="n">
        <f aca="false">Y9+Y10+Y11</f>
        <v>673946.870088757</v>
      </c>
      <c r="Z12" s="70" t="n">
        <f aca="false">Z9+Z10+Z11</f>
        <v>608426.456969989</v>
      </c>
      <c r="AA12" s="70" t="n">
        <f aca="false">AA9+AA10+AA11</f>
        <v>632126.685039381</v>
      </c>
      <c r="AB12" s="70" t="n">
        <f aca="false">AB9+AB10+AB11</f>
        <v>683889.330490152</v>
      </c>
    </row>
    <row r="13" customFormat="false" ht="15" hidden="false" customHeight="false" outlineLevel="0" collapsed="false">
      <c r="A13" s="29" t="s">
        <v>350</v>
      </c>
      <c r="B13" s="60" t="s">
        <v>51</v>
      </c>
      <c r="C13" s="61" t="n">
        <f aca="false">SUM(E13:P13)</f>
        <v>409132.009334193</v>
      </c>
      <c r="D13" s="61" t="n">
        <f aca="false">SUM(Q13:AB13)</f>
        <v>484061.588335022</v>
      </c>
      <c r="E13" s="62" t="n">
        <f aca="false">Engagements!E600</f>
        <v>21991.74</v>
      </c>
      <c r="F13" s="62" t="n">
        <f aca="false">Engagements!F600</f>
        <v>29156.39</v>
      </c>
      <c r="G13" s="62" t="n">
        <f aca="false">Engagements!G600</f>
        <v>32102.91</v>
      </c>
      <c r="H13" s="62" t="n">
        <f aca="false">Engagements!H600</f>
        <v>28351.43</v>
      </c>
      <c r="I13" s="62" t="n">
        <f aca="false">Engagements!I600</f>
        <v>30509.27</v>
      </c>
      <c r="J13" s="62" t="n">
        <f aca="false">Engagements!J600</f>
        <v>42959.87</v>
      </c>
      <c r="K13" s="62" t="n">
        <f aca="false">Engagements!K600</f>
        <v>36687.31</v>
      </c>
      <c r="L13" s="62" t="n">
        <f aca="false">Engagements!L600</f>
        <v>27215.38</v>
      </c>
      <c r="M13" s="62" t="n">
        <f aca="false">Engagements!M600</f>
        <v>44987.2644517755</v>
      </c>
      <c r="N13" s="62" t="n">
        <f aca="false">Engagements!N600</f>
        <v>37366.5123514487</v>
      </c>
      <c r="O13" s="62" t="n">
        <f aca="false">Engagements!O600</f>
        <v>36176.4418000003</v>
      </c>
      <c r="P13" s="62" t="n">
        <f aca="false">Engagements!P600</f>
        <v>41627.4907309686</v>
      </c>
      <c r="Q13" s="62" t="n">
        <f aca="false">Engagements!Q600</f>
        <v>41298.2269325128</v>
      </c>
      <c r="R13" s="62" t="n">
        <f aca="false">Engagements!R600</f>
        <v>42765.075902863</v>
      </c>
      <c r="S13" s="62" t="n">
        <f aca="false">Engagements!S600</f>
        <v>42762.4184206476</v>
      </c>
      <c r="T13" s="62" t="n">
        <f aca="false">Engagements!T600</f>
        <v>43228.7828790233</v>
      </c>
      <c r="U13" s="62" t="n">
        <f aca="false">Engagements!U600</f>
        <v>32907.0823216882</v>
      </c>
      <c r="V13" s="62" t="n">
        <f aca="false">Engagements!V600</f>
        <v>42613.4382832617</v>
      </c>
      <c r="W13" s="62" t="n">
        <f aca="false">Engagements!W600</f>
        <v>40951.545655548</v>
      </c>
      <c r="X13" s="62" t="n">
        <f aca="false">Engagements!X600</f>
        <v>34708.6536166995</v>
      </c>
      <c r="Y13" s="62" t="n">
        <f aca="false">Engagements!Y600</f>
        <v>43193.3814934483</v>
      </c>
      <c r="Z13" s="62" t="n">
        <f aca="false">Engagements!Z600</f>
        <v>37756.7556521676</v>
      </c>
      <c r="AA13" s="62" t="n">
        <f aca="false">Engagements!AA600</f>
        <v>39331.5852469667</v>
      </c>
      <c r="AB13" s="62" t="n">
        <f aca="false">Engagements!AB600</f>
        <v>42544.6419301955</v>
      </c>
    </row>
    <row r="14" customFormat="false" ht="15" hidden="false" customHeight="false" outlineLevel="0" collapsed="false">
      <c r="A14" s="68" t="s">
        <v>351</v>
      </c>
      <c r="B14" s="69"/>
      <c r="C14" s="70" t="n">
        <f aca="false">SUM(E14:P14)</f>
        <v>7663693.79241965</v>
      </c>
      <c r="D14" s="70" t="n">
        <f aca="false">SUM(Q14:AB14)</f>
        <v>8138917.57368681</v>
      </c>
      <c r="E14" s="70" t="n">
        <f aca="false">E12+E13</f>
        <v>479492.6</v>
      </c>
      <c r="F14" s="70" t="n">
        <f aca="false">F12+F13</f>
        <v>525340.41</v>
      </c>
      <c r="G14" s="70" t="n">
        <f aca="false">G12+G13</f>
        <v>659078.81</v>
      </c>
      <c r="H14" s="70" t="n">
        <f aca="false">H12+H13</f>
        <v>568656.44</v>
      </c>
      <c r="I14" s="70" t="n">
        <f aca="false">I12+I13</f>
        <v>589387.68</v>
      </c>
      <c r="J14" s="70" t="n">
        <f aca="false">J12+J13</f>
        <v>744508.54</v>
      </c>
      <c r="K14" s="70" t="n">
        <f aca="false">K12+K13</f>
        <v>626899.04</v>
      </c>
      <c r="L14" s="70" t="n">
        <f aca="false">L12+L13</f>
        <v>510901.62</v>
      </c>
      <c r="M14" s="70" t="n">
        <f aca="false">M12+M13</f>
        <v>779210.227703403</v>
      </c>
      <c r="N14" s="70" t="n">
        <f aca="false">N12+N13</f>
        <v>707517.867793864</v>
      </c>
      <c r="O14" s="70" t="n">
        <f aca="false">O12+O13</f>
        <v>709361.236590174</v>
      </c>
      <c r="P14" s="70" t="n">
        <f aca="false">P12+P13</f>
        <v>763339.320332212</v>
      </c>
      <c r="Q14" s="70" t="n">
        <f aca="false">Q12+Q13</f>
        <v>698289.27242846</v>
      </c>
      <c r="R14" s="70" t="n">
        <f aca="false">R12+R13</f>
        <v>724370.058409322</v>
      </c>
      <c r="S14" s="70" t="n">
        <f aca="false">S12+S13</f>
        <v>718015.45755546</v>
      </c>
      <c r="T14" s="70" t="n">
        <f aca="false">T12+T13</f>
        <v>717170.640657371</v>
      </c>
      <c r="U14" s="70" t="n">
        <f aca="false">U12+U13</f>
        <v>539393.17757938</v>
      </c>
      <c r="V14" s="70" t="n">
        <f aca="false">V12+V13</f>
        <v>716001.99261945</v>
      </c>
      <c r="W14" s="70" t="n">
        <f aca="false">W12+W13</f>
        <v>680780.574170406</v>
      </c>
      <c r="X14" s="70" t="n">
        <f aca="false">X12+X13</f>
        <v>583680.693355902</v>
      </c>
      <c r="Y14" s="70" t="n">
        <f aca="false">Y12+Y13</f>
        <v>717140.251582205</v>
      </c>
      <c r="Z14" s="70" t="n">
        <f aca="false">Z12+Z13</f>
        <v>646183.212622157</v>
      </c>
      <c r="AA14" s="70" t="n">
        <f aca="false">AA12+AA13</f>
        <v>671458.270286347</v>
      </c>
      <c r="AB14" s="70" t="n">
        <f aca="false">AB12+AB13</f>
        <v>726433.972420348</v>
      </c>
    </row>
    <row r="15" customFormat="false" ht="15" hidden="false" customHeight="false" outlineLevel="0" collapsed="false">
      <c r="A15" s="29" t="s">
        <v>352</v>
      </c>
      <c r="B15" s="60"/>
      <c r="F15" s="64" t="n">
        <f aca="false">IF(E14=0,0,F14/E14-1)</f>
        <v>0.0956173463365233</v>
      </c>
      <c r="G15" s="64" t="n">
        <f aca="false">IF(F14=0,0,G14/F14-1)</f>
        <v>0.25457474326028</v>
      </c>
      <c r="H15" s="64" t="n">
        <f aca="false">IF(G14=0,0,H14/G14-1)</f>
        <v>-0.137195079902508</v>
      </c>
      <c r="I15" s="64" t="n">
        <f aca="false">IF(H14=0,0,I14/H14-1)</f>
        <v>0.0364565290072156</v>
      </c>
      <c r="J15" s="64" t="n">
        <f aca="false">IF(I14=0,0,J14/I14-1)</f>
        <v>0.263189858328901</v>
      </c>
      <c r="K15" s="64" t="n">
        <f aca="false">IF(J14=0,0,K14/J14-1)</f>
        <v>-0.157969309525986</v>
      </c>
      <c r="L15" s="64" t="n">
        <f aca="false">IF(K14=0,0,L14/K14-1)</f>
        <v>-0.185033653903825</v>
      </c>
      <c r="M15" s="64" t="n">
        <f aca="false">IF(L14=0,0,M14/L14-1)</f>
        <v>0.525166875969981</v>
      </c>
      <c r="N15" s="64" t="n">
        <f aca="false">IF(M14=0,0,N14/M14-1)</f>
        <v>-0.092006441086946</v>
      </c>
      <c r="O15" s="64" t="n">
        <f aca="false">IF(N14=0,0,O14/N14-1)</f>
        <v>0.00260540246433316</v>
      </c>
      <c r="P15" s="64" t="n">
        <f aca="false">IF(O14=0,0,P14/O14-1)</f>
        <v>0.076093929239079</v>
      </c>
      <c r="Q15" s="64" t="n">
        <f aca="false">IF(P14=0,0,Q14/P14-1)</f>
        <v>-0.085217734985067</v>
      </c>
      <c r="R15" s="64" t="n">
        <f aca="false">IF(Q14=0,0,R14/Q14-1)</f>
        <v>0.0373495441082166</v>
      </c>
      <c r="S15" s="64" t="n">
        <f aca="false">IF(R14=0,0,S14/R14-1)</f>
        <v>-0.00877258906561707</v>
      </c>
      <c r="T15" s="64" t="n">
        <f aca="false">IF(S14=0,0,T14/S14-1)</f>
        <v>-0.0011765998756692</v>
      </c>
      <c r="U15" s="64" t="n">
        <f aca="false">IF(T14=0,0,U14/T14-1)</f>
        <v>-0.247887257229377</v>
      </c>
      <c r="V15" s="64" t="n">
        <f aca="false">IF(U14=0,0,V14/U14-1)</f>
        <v>0.327421299306439</v>
      </c>
      <c r="W15" s="64" t="n">
        <f aca="false">IF(V14=0,0,W14/V14-1)</f>
        <v>-0.0491917883080018</v>
      </c>
      <c r="X15" s="64" t="n">
        <f aca="false">IF(W14=0,0,X14/W14-1)</f>
        <v>-0.142630216693285</v>
      </c>
      <c r="Y15" s="64" t="n">
        <f aca="false">IF(X14=0,0,Y14/X14-1)</f>
        <v>0.228651657910716</v>
      </c>
      <c r="Z15" s="64" t="n">
        <f aca="false">IF(Y14=0,0,Z14/Y14-1)</f>
        <v>-0.0989444377212106</v>
      </c>
      <c r="AA15" s="64" t="n">
        <f aca="false">IF(Z14=0,0,AA14/Z14-1)</f>
        <v>0.039114382996158</v>
      </c>
      <c r="AB15" s="64" t="n">
        <f aca="false">IF(AA14=0,0,AB14/AA14-1)</f>
        <v>0.081875083779303</v>
      </c>
    </row>
    <row r="16" customFormat="false" ht="15" hidden="false" customHeight="false" outlineLevel="0" collapsed="false">
      <c r="A16" s="23" t="s">
        <v>353</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row>
    <row r="17" customFormat="false" ht="15" hidden="false" customHeight="false" outlineLevel="0" collapsed="false">
      <c r="A17" s="29" t="s">
        <v>354</v>
      </c>
      <c r="B17" s="60" t="s">
        <v>58</v>
      </c>
      <c r="C17" s="61" t="n">
        <f aca="false">SUM(E17:P17)</f>
        <v>-3248086.30635403</v>
      </c>
      <c r="D17" s="61" t="n">
        <f aca="false">SUM(Q17:AB17)</f>
        <v>-3726212.34333793</v>
      </c>
      <c r="E17" s="62" t="n">
        <f aca="false">-(People!E53+People!E77+People!E101)</f>
        <v>-255688.78</v>
      </c>
      <c r="F17" s="62" t="n">
        <f aca="false">-(People!F53+People!F77+People!F101)</f>
        <v>-265386.62</v>
      </c>
      <c r="G17" s="62" t="n">
        <f aca="false">-(People!G53+People!G77+People!G101)</f>
        <v>-270688.37</v>
      </c>
      <c r="H17" s="62" t="n">
        <f aca="false">-(People!H53+People!H77+People!H101)</f>
        <v>-263797.07</v>
      </c>
      <c r="I17" s="62" t="n">
        <f aca="false">-(People!I53+People!I77+People!I101)</f>
        <v>-268265.13</v>
      </c>
      <c r="J17" s="62" t="n">
        <f aca="false">-(People!J53+People!J77+People!J101)</f>
        <v>-268336.21</v>
      </c>
      <c r="K17" s="62" t="n">
        <f aca="false">-(People!K53+People!K77+People!K101)</f>
        <v>-268747.41</v>
      </c>
      <c r="L17" s="62" t="n">
        <f aca="false">-(People!L53+People!L77+People!L101)</f>
        <v>-269084.64</v>
      </c>
      <c r="M17" s="62" t="n">
        <f aca="false">-(People!M53+People!M77+People!M101)</f>
        <v>-277201.388888889</v>
      </c>
      <c r="N17" s="62" t="n">
        <f aca="false">-(People!N53+People!N77+People!N101)</f>
        <v>-281878.96412037</v>
      </c>
      <c r="O17" s="62" t="n">
        <f aca="false">-(People!O53+People!O77+People!O101)</f>
        <v>-279577.839433835</v>
      </c>
      <c r="P17" s="62" t="n">
        <f aca="false">-(People!P53+People!P77+People!P101)</f>
        <v>-279433.883910932</v>
      </c>
      <c r="Q17" s="62" t="n">
        <f aca="false">-(People!Q53+People!Q77+People!Q101)</f>
        <v>-302621.572055126</v>
      </c>
      <c r="R17" s="62" t="n">
        <f aca="false">-(People!R53+People!R77+People!R101)</f>
        <v>-302519.895456051</v>
      </c>
      <c r="S17" s="62" t="n">
        <f aca="false">-(People!S53+People!S77+People!S101)</f>
        <v>-302393.111667039</v>
      </c>
      <c r="T17" s="62" t="n">
        <f aca="false">-(People!T53+People!T77+People!T101)</f>
        <v>-308575.130797278</v>
      </c>
      <c r="U17" s="62" t="n">
        <f aca="false">-(People!U53+People!U77+People!U101)</f>
        <v>-308526.521288428</v>
      </c>
      <c r="V17" s="62" t="n">
        <f aca="false">-(People!V53+People!V77+People!V101)</f>
        <v>-308477.177819546</v>
      </c>
      <c r="W17" s="62" t="n">
        <f aca="false">-(People!W53+People!W77+People!W101)</f>
        <v>-308426.820067979</v>
      </c>
      <c r="X17" s="62" t="n">
        <f aca="false">-(People!X53+People!X77+People!X101)</f>
        <v>-308428.030286292</v>
      </c>
      <c r="Y17" s="62" t="n">
        <f aca="false">-(People!Y53+People!Y77+People!Y101)</f>
        <v>-319262.171516018</v>
      </c>
      <c r="Z17" s="62" t="n">
        <f aca="false">-(People!Z53+People!Z77+People!Z101)</f>
        <v>-319127.153876282</v>
      </c>
      <c r="AA17" s="62" t="n">
        <f aca="false">-(People!AA53+People!AA77+People!AA101)</f>
        <v>-318993.410304645</v>
      </c>
      <c r="AB17" s="62" t="n">
        <f aca="false">-(People!AB53+People!AB77+People!AB101)</f>
        <v>-318861.348203246</v>
      </c>
    </row>
    <row r="18" customFormat="false" ht="15" hidden="false" customHeight="false" outlineLevel="0" collapsed="false">
      <c r="A18" s="29" t="s">
        <v>355</v>
      </c>
      <c r="B18" s="60" t="s">
        <v>58</v>
      </c>
      <c r="C18" s="61" t="n">
        <f aca="false">SUM(E18:P18)</f>
        <v>-533535.060860359</v>
      </c>
      <c r="D18" s="61" t="n">
        <f aca="false">SUM(Q18:AB18)</f>
        <v>-634709.303441025</v>
      </c>
      <c r="E18" s="62" t="n">
        <f aca="false">-(People!E54+People!E78+People!E102)</f>
        <v>-41541.56</v>
      </c>
      <c r="F18" s="62" t="n">
        <f aca="false">-(People!F54+People!F78+People!F102)</f>
        <v>-43172.81</v>
      </c>
      <c r="G18" s="62" t="n">
        <f aca="false">-(People!G54+People!G78+People!G102)</f>
        <v>-44255.52</v>
      </c>
      <c r="H18" s="62" t="n">
        <f aca="false">-(People!H54+People!H78+People!H102)</f>
        <v>-42943.91</v>
      </c>
      <c r="I18" s="62" t="n">
        <f aca="false">-(People!I54+People!I78+People!I102)</f>
        <v>-44076.37</v>
      </c>
      <c r="J18" s="62" t="n">
        <f aca="false">-(People!J54+People!J78+People!J102)</f>
        <v>-43966.1</v>
      </c>
      <c r="K18" s="62" t="n">
        <f aca="false">-(People!K54+People!K78+People!K102)</f>
        <v>-43998.57</v>
      </c>
      <c r="L18" s="62" t="n">
        <f aca="false">-(People!L54+People!L78+People!L102)</f>
        <v>-44108.44</v>
      </c>
      <c r="M18" s="62" t="n">
        <f aca="false">-(People!M54+People!M78+People!M102)</f>
        <v>-45881.7791458333</v>
      </c>
      <c r="N18" s="62" t="n">
        <f aca="false">-(People!N54+People!N78+People!N102)</f>
        <v>-46836.2593461806</v>
      </c>
      <c r="O18" s="62" t="n">
        <f aca="false">-(People!O54+People!O78+People!O102)</f>
        <v>-46392.46130291</v>
      </c>
      <c r="P18" s="62" t="n">
        <f aca="false">-(People!P54+People!P78+People!P102)</f>
        <v>-46361.2810654355</v>
      </c>
      <c r="Q18" s="62" t="n">
        <f aca="false">-(People!Q54+People!Q78+People!Q102)</f>
        <v>-51384.4391020395</v>
      </c>
      <c r="R18" s="62" t="n">
        <f aca="false">-(People!R54+People!R78+People!R102)</f>
        <v>-51364.880891423</v>
      </c>
      <c r="S18" s="62" t="n">
        <f aca="false">-(People!S54+People!S78+People!S102)</f>
        <v>-51340.2518689818</v>
      </c>
      <c r="T18" s="62" t="n">
        <f aca="false">-(People!T54+People!T78+People!T102)</f>
        <v>-52395.2015739889</v>
      </c>
      <c r="U18" s="62" t="n">
        <f aca="false">-(People!U54+People!U78+People!U102)</f>
        <v>-52386.9836786408</v>
      </c>
      <c r="V18" s="62" t="n">
        <f aca="false">-(People!V54+People!V78+People!V102)</f>
        <v>-52378.6121948949</v>
      </c>
      <c r="W18" s="62" t="n">
        <f aca="false">-(People!W54+People!W78+People!W102)</f>
        <v>-52370.0295658075</v>
      </c>
      <c r="X18" s="62" t="n">
        <f aca="false">-(People!X54+People!X78+People!X102)</f>
        <v>-52370.2340659487</v>
      </c>
      <c r="Y18" s="62" t="n">
        <f aca="false">-(People!Y54+People!Y78+People!Y102)</f>
        <v>-54723.3710065418</v>
      </c>
      <c r="Z18" s="62" t="n">
        <f aca="false">-(People!Z54+People!Z78+People!Z102)</f>
        <v>-54694.0264022094</v>
      </c>
      <c r="AA18" s="62" t="n">
        <f aca="false">-(People!AA54+People!AA78+People!AA102)</f>
        <v>-54664.9782559003</v>
      </c>
      <c r="AB18" s="62" t="n">
        <f aca="false">-(People!AB54+People!AB78+People!AB102)</f>
        <v>-54636.2948346487</v>
      </c>
    </row>
    <row r="19" customFormat="false" ht="15" hidden="false" customHeight="false" outlineLevel="0" collapsed="false">
      <c r="A19" s="29" t="s">
        <v>356</v>
      </c>
      <c r="B19" s="60" t="s">
        <v>58</v>
      </c>
      <c r="C19" s="61" t="n">
        <f aca="false">SUM(E19:P19)</f>
        <v>-322673.551028152</v>
      </c>
      <c r="D19" s="61" t="n">
        <f aca="false">SUM(Q19:AB19)</f>
        <v>-406803.535577624</v>
      </c>
      <c r="E19" s="62" t="n">
        <f aca="false">-People!E146</f>
        <v>-24098.8346666667</v>
      </c>
      <c r="F19" s="62" t="n">
        <f aca="false">-People!F146</f>
        <v>-24882.8346666667</v>
      </c>
      <c r="G19" s="62" t="n">
        <f aca="false">-People!G146</f>
        <v>-25149.0971666667</v>
      </c>
      <c r="H19" s="62" t="n">
        <f aca="false">-People!H146</f>
        <v>-24718.4987</v>
      </c>
      <c r="I19" s="62" t="n">
        <f aca="false">-People!I146</f>
        <v>-24984.7612</v>
      </c>
      <c r="J19" s="62" t="n">
        <f aca="false">-People!J146</f>
        <v>-24984.7612</v>
      </c>
      <c r="K19" s="62" t="n">
        <f aca="false">-People!K146</f>
        <v>-24984.7612</v>
      </c>
      <c r="L19" s="62" t="n">
        <f aca="false">-People!L146</f>
        <v>-24984.7612</v>
      </c>
      <c r="M19" s="62" t="n">
        <f aca="false">-People!M146</f>
        <v>-30810.3175966667</v>
      </c>
      <c r="N19" s="62" t="n">
        <f aca="false">-People!N146</f>
        <v>-31151.9330544861</v>
      </c>
      <c r="O19" s="62" t="n">
        <f aca="false">-People!O146</f>
        <v>-30966.0117635562</v>
      </c>
      <c r="P19" s="62" t="n">
        <f aca="false">-People!P146</f>
        <v>-30956.9786134426</v>
      </c>
      <c r="Q19" s="62" t="n">
        <f aca="false">-People!Q146</f>
        <v>-33231.3606358769</v>
      </c>
      <c r="R19" s="62" t="n">
        <f aca="false">-People!R146</f>
        <v>-33222.6097653391</v>
      </c>
      <c r="S19" s="62" t="n">
        <f aca="false">-People!S146</f>
        <v>-33211.9468664461</v>
      </c>
      <c r="T19" s="62" t="n">
        <f aca="false">-People!T146</f>
        <v>-33844.8265171134</v>
      </c>
      <c r="U19" s="62" t="n">
        <f aca="false">-People!U146</f>
        <v>-33839.7909472836</v>
      </c>
      <c r="V19" s="62" t="n">
        <f aca="false">-People!V146</f>
        <v>-33834.7015906728</v>
      </c>
      <c r="W19" s="62" t="n">
        <f aca="false">-People!W146</f>
        <v>-33829.5378479872</v>
      </c>
      <c r="X19" s="62" t="n">
        <f aca="false">-People!X146</f>
        <v>-33829.6633019063</v>
      </c>
      <c r="Y19" s="62" t="n">
        <f aca="false">-People!Y146</f>
        <v>-34502.2497269145</v>
      </c>
      <c r="Z19" s="62" t="n">
        <f aca="false">-People!Z146</f>
        <v>-34493.8844429332</v>
      </c>
      <c r="AA19" s="62" t="n">
        <f aca="false">-People!AA146</f>
        <v>-34485.5811917969</v>
      </c>
      <c r="AB19" s="62" t="n">
        <f aca="false">-People!AB146</f>
        <v>-34477.3827433538</v>
      </c>
    </row>
    <row r="20" customFormat="false" ht="15" hidden="false" customHeight="false" outlineLevel="0" collapsed="false">
      <c r="A20" s="29" t="s">
        <v>357</v>
      </c>
      <c r="B20" s="60" t="s">
        <v>56</v>
      </c>
      <c r="C20" s="61" t="n">
        <f aca="false">SUM(E20:P20)</f>
        <v>-230376.990120966</v>
      </c>
      <c r="D20" s="61" t="n">
        <f aca="false">SUM(Q20:AB20)</f>
        <v>-30422.4037199251</v>
      </c>
      <c r="E20" s="62" t="n">
        <f aca="false">-Capacity!E141</f>
        <v>-6924.26</v>
      </c>
      <c r="F20" s="62" t="n">
        <f aca="false">-Capacity!F141</f>
        <v>-8663.68</v>
      </c>
      <c r="G20" s="62" t="n">
        <f aca="false">-Capacity!G141</f>
        <v>-2599.5</v>
      </c>
      <c r="H20" s="62" t="n">
        <f aca="false">-Capacity!H141</f>
        <v>-16117.31</v>
      </c>
      <c r="I20" s="62" t="n">
        <f aca="false">-Capacity!I141</f>
        <v>-36895.17</v>
      </c>
      <c r="J20" s="62" t="n">
        <f aca="false">-Capacity!J141</f>
        <v>-48703.47</v>
      </c>
      <c r="K20" s="62" t="n">
        <f aca="false">-Capacity!K141</f>
        <v>-19866.04</v>
      </c>
      <c r="L20" s="62" t="n">
        <f aca="false">-Capacity!L141</f>
        <v>-13181.23</v>
      </c>
      <c r="M20" s="62" t="n">
        <f aca="false">-Capacity!M141</f>
        <v>-38719.92083138</v>
      </c>
      <c r="N20" s="62" t="n">
        <f aca="false">-Capacity!N141</f>
        <v>-17381.6223722367</v>
      </c>
      <c r="O20" s="62" t="n">
        <f aca="false">-Capacity!O141</f>
        <v>-4899.14470127764</v>
      </c>
      <c r="P20" s="62" t="n">
        <f aca="false">-Capacity!P141</f>
        <v>-16425.6422160711</v>
      </c>
      <c r="Q20" s="62" t="n">
        <f aca="false">-Capacity!Q141</f>
        <v>-15145.157613668</v>
      </c>
      <c r="R20" s="62" t="n">
        <f aca="false">-Capacity!R141</f>
        <v>-15235.2282080663</v>
      </c>
      <c r="S20" s="62" t="n">
        <f aca="false">-Capacity!S141</f>
        <v>-42.0178981907644</v>
      </c>
      <c r="T20" s="62" t="n">
        <f aca="false">-Capacity!T141</f>
        <v>-0</v>
      </c>
      <c r="U20" s="62" t="n">
        <f aca="false">-Capacity!U141</f>
        <v>-0</v>
      </c>
      <c r="V20" s="62" t="n">
        <f aca="false">-Capacity!V141</f>
        <v>-0</v>
      </c>
      <c r="W20" s="62" t="n">
        <f aca="false">-Capacity!W141</f>
        <v>-0</v>
      </c>
      <c r="X20" s="62" t="n">
        <f aca="false">-Capacity!X141</f>
        <v>-0</v>
      </c>
      <c r="Y20" s="62" t="n">
        <f aca="false">-Capacity!Y141</f>
        <v>-0</v>
      </c>
      <c r="Z20" s="62" t="n">
        <f aca="false">-Capacity!Z141</f>
        <v>-0</v>
      </c>
      <c r="AA20" s="62" t="n">
        <f aca="false">-Capacity!AA141</f>
        <v>-0</v>
      </c>
      <c r="AB20" s="62" t="n">
        <f aca="false">-Capacity!AB141</f>
        <v>-0</v>
      </c>
    </row>
    <row r="21" customFormat="false" ht="15" hidden="false" customHeight="false" outlineLevel="0" collapsed="false">
      <c r="A21" s="29" t="s">
        <v>358</v>
      </c>
      <c r="B21" s="60" t="s">
        <v>51</v>
      </c>
      <c r="C21" s="61" t="n">
        <f aca="false">SUM(E21:P21)</f>
        <v>-502291.611894238</v>
      </c>
      <c r="D21" s="61" t="n">
        <f aca="false">SUM(Q21:AB21)</f>
        <v>-505047.701798176</v>
      </c>
      <c r="E21" s="62" t="n">
        <f aca="false">-Engagements!E601</f>
        <v>-28198.98</v>
      </c>
      <c r="F21" s="62" t="n">
        <f aca="false">-Engagements!F601</f>
        <v>-35818.37</v>
      </c>
      <c r="G21" s="62" t="n">
        <f aca="false">-Engagements!G601</f>
        <v>-42356.45</v>
      </c>
      <c r="H21" s="62" t="n">
        <f aca="false">-Engagements!H601</f>
        <v>-34953.83</v>
      </c>
      <c r="I21" s="62" t="n">
        <f aca="false">-Engagements!I601</f>
        <v>-37562.55</v>
      </c>
      <c r="J21" s="62" t="n">
        <f aca="false">-Engagements!J601</f>
        <v>-53154.03</v>
      </c>
      <c r="K21" s="62" t="n">
        <f aca="false">-Engagements!K601</f>
        <v>-44839.39</v>
      </c>
      <c r="L21" s="62" t="n">
        <f aca="false">-Engagements!L601</f>
        <v>-35365.45</v>
      </c>
      <c r="M21" s="62" t="n">
        <f aca="false">-Engagements!M601</f>
        <v>-53939.5739013985</v>
      </c>
      <c r="N21" s="62" t="n">
        <f aca="false">-Engagements!N601</f>
        <v>-46396.4670882925</v>
      </c>
      <c r="O21" s="62" t="n">
        <f aca="false">-Engagements!O601</f>
        <v>-43018.6810149219</v>
      </c>
      <c r="P21" s="62" t="n">
        <f aca="false">-Engagements!P601</f>
        <v>-46687.8398896253</v>
      </c>
      <c r="Q21" s="62" t="n">
        <f aca="false">-Engagements!Q601</f>
        <v>-44887.6034439245</v>
      </c>
      <c r="R21" s="62" t="n">
        <f aca="false">-Engagements!R601</f>
        <v>-46756.0516064176</v>
      </c>
      <c r="S21" s="62" t="n">
        <f aca="false">-Engagements!S601</f>
        <v>-47043.6469026425</v>
      </c>
      <c r="T21" s="62" t="n">
        <f aca="false">-Engagements!T601</f>
        <v>-46339.2692437908</v>
      </c>
      <c r="U21" s="62" t="n">
        <f aca="false">-Engagements!U601</f>
        <v>-35277.7773348353</v>
      </c>
      <c r="V21" s="62" t="n">
        <f aca="false">-Engagements!V601</f>
        <v>-45092.5455982637</v>
      </c>
      <c r="W21" s="62" t="n">
        <f aca="false">-Engagements!W601</f>
        <v>-42115.7897288238</v>
      </c>
      <c r="X21" s="62" t="n">
        <f aca="false">-Engagements!X601</f>
        <v>-34708.6536166995</v>
      </c>
      <c r="Y21" s="62" t="n">
        <f aca="false">-Engagements!Y601</f>
        <v>-43193.3814934483</v>
      </c>
      <c r="Z21" s="62" t="n">
        <f aca="false">-Engagements!Z601</f>
        <v>-37756.7556521676</v>
      </c>
      <c r="AA21" s="62" t="n">
        <f aca="false">-Engagements!AA601</f>
        <v>-39331.5852469667</v>
      </c>
      <c r="AB21" s="62" t="n">
        <f aca="false">-Engagements!AB601</f>
        <v>-42544.6419301955</v>
      </c>
    </row>
    <row r="22" customFormat="false" ht="15" hidden="false" customHeight="false" outlineLevel="0" collapsed="false">
      <c r="A22" s="68" t="s">
        <v>359</v>
      </c>
      <c r="B22" s="69"/>
      <c r="C22" s="70" t="n">
        <f aca="false">SUM(E22:P22)</f>
        <v>-4836963.52025774</v>
      </c>
      <c r="D22" s="70" t="n">
        <f aca="false">SUM(Q22:AB22)</f>
        <v>-5303195.28787468</v>
      </c>
      <c r="E22" s="70" t="n">
        <f aca="false">SUM(E17:E21)</f>
        <v>-356452.414666667</v>
      </c>
      <c r="F22" s="70" t="n">
        <f aca="false">SUM(F17:F21)</f>
        <v>-377924.314666667</v>
      </c>
      <c r="G22" s="70" t="n">
        <f aca="false">SUM(G17:G21)</f>
        <v>-385048.937166667</v>
      </c>
      <c r="H22" s="70" t="n">
        <f aca="false">SUM(H17:H21)</f>
        <v>-382530.6187</v>
      </c>
      <c r="I22" s="70" t="n">
        <f aca="false">SUM(I17:I21)</f>
        <v>-411783.9812</v>
      </c>
      <c r="J22" s="70" t="n">
        <f aca="false">SUM(J17:J21)</f>
        <v>-439144.5712</v>
      </c>
      <c r="K22" s="70" t="n">
        <f aca="false">SUM(K17:K21)</f>
        <v>-402436.1712</v>
      </c>
      <c r="L22" s="70" t="n">
        <f aca="false">SUM(L17:L21)</f>
        <v>-386724.5212</v>
      </c>
      <c r="M22" s="70" t="n">
        <f aca="false">SUM(M17:M21)</f>
        <v>-446552.980364167</v>
      </c>
      <c r="N22" s="70" t="n">
        <f aca="false">SUM(N17:N21)</f>
        <v>-423645.245981566</v>
      </c>
      <c r="O22" s="70" t="n">
        <f aca="false">SUM(O17:O21)</f>
        <v>-404854.138216501</v>
      </c>
      <c r="P22" s="70" t="n">
        <f aca="false">SUM(P17:P21)</f>
        <v>-419865.625695506</v>
      </c>
      <c r="Q22" s="70" t="n">
        <f aca="false">SUM(Q17:Q21)</f>
        <v>-447270.132850635</v>
      </c>
      <c r="R22" s="70" t="n">
        <f aca="false">SUM(R17:R21)</f>
        <v>-449098.665927297</v>
      </c>
      <c r="S22" s="70" t="n">
        <f aca="false">SUM(S17:S21)</f>
        <v>-434030.9752033</v>
      </c>
      <c r="T22" s="70" t="n">
        <f aca="false">SUM(T17:T21)</f>
        <v>-441154.428132171</v>
      </c>
      <c r="U22" s="70" t="n">
        <f aca="false">SUM(U17:U21)</f>
        <v>-430031.073249188</v>
      </c>
      <c r="V22" s="70" t="n">
        <f aca="false">SUM(V17:V21)</f>
        <v>-439783.037203377</v>
      </c>
      <c r="W22" s="70" t="n">
        <f aca="false">SUM(W17:W21)</f>
        <v>-436742.177210597</v>
      </c>
      <c r="X22" s="70" t="n">
        <f aca="false">SUM(X17:X21)</f>
        <v>-429336.581270846</v>
      </c>
      <c r="Y22" s="70" t="n">
        <f aca="false">SUM(Y17:Y21)</f>
        <v>-451681.173742922</v>
      </c>
      <c r="Z22" s="70" t="n">
        <f aca="false">SUM(Z17:Z21)</f>
        <v>-446071.820373592</v>
      </c>
      <c r="AA22" s="70" t="n">
        <f aca="false">SUM(AA17:AA21)</f>
        <v>-447475.554999309</v>
      </c>
      <c r="AB22" s="70" t="n">
        <f aca="false">SUM(AB17:AB21)</f>
        <v>-450519.667711444</v>
      </c>
    </row>
    <row r="23" customFormat="false" ht="15" hidden="false" customHeight="false" outlineLevel="0" collapsed="false">
      <c r="A23" s="68" t="s">
        <v>360</v>
      </c>
      <c r="B23" s="69" t="s">
        <v>361</v>
      </c>
      <c r="C23" s="70" t="n">
        <f aca="false">SUM(E23:P23)</f>
        <v>2826730.27216191</v>
      </c>
      <c r="D23" s="70" t="n">
        <f aca="false">SUM(Q23:AB23)</f>
        <v>2835722.28581213</v>
      </c>
      <c r="E23" s="70" t="n">
        <f aca="false">E14+E22</f>
        <v>123040.185333333</v>
      </c>
      <c r="F23" s="70" t="n">
        <f aca="false">F14+F22</f>
        <v>147416.095333333</v>
      </c>
      <c r="G23" s="70" t="n">
        <f aca="false">G14+G22</f>
        <v>274029.872833334</v>
      </c>
      <c r="H23" s="70" t="n">
        <f aca="false">H14+H22</f>
        <v>186125.8213</v>
      </c>
      <c r="I23" s="70" t="n">
        <f aca="false">I14+I22</f>
        <v>177603.6988</v>
      </c>
      <c r="J23" s="70" t="n">
        <f aca="false">J14+J22</f>
        <v>305363.9688</v>
      </c>
      <c r="K23" s="70" t="n">
        <f aca="false">K14+K22</f>
        <v>224462.8688</v>
      </c>
      <c r="L23" s="70" t="n">
        <f aca="false">L14+L22</f>
        <v>124177.0988</v>
      </c>
      <c r="M23" s="70" t="n">
        <f aca="false">M14+M22</f>
        <v>332657.247339235</v>
      </c>
      <c r="N23" s="70" t="n">
        <f aca="false">N14+N22</f>
        <v>283872.621812297</v>
      </c>
      <c r="O23" s="70" t="n">
        <f aca="false">O14+O22</f>
        <v>304507.098373673</v>
      </c>
      <c r="P23" s="70" t="n">
        <f aca="false">P14+P22</f>
        <v>343473.694636705</v>
      </c>
      <c r="Q23" s="70" t="n">
        <f aca="false">Q14+Q22</f>
        <v>251019.139577825</v>
      </c>
      <c r="R23" s="70" t="n">
        <f aca="false">R14+R22</f>
        <v>275271.392482024</v>
      </c>
      <c r="S23" s="70" t="n">
        <f aca="false">S14+S22</f>
        <v>283984.482352159</v>
      </c>
      <c r="T23" s="70" t="n">
        <f aca="false">T14+T22</f>
        <v>276016.2125252</v>
      </c>
      <c r="U23" s="70" t="n">
        <f aca="false">U14+U22</f>
        <v>109362.104330193</v>
      </c>
      <c r="V23" s="70" t="n">
        <f aca="false">V14+V22</f>
        <v>276218.955416072</v>
      </c>
      <c r="W23" s="70" t="n">
        <f aca="false">W14+W22</f>
        <v>244038.396959809</v>
      </c>
      <c r="X23" s="70" t="n">
        <f aca="false">X14+X22</f>
        <v>154344.112085056</v>
      </c>
      <c r="Y23" s="70" t="n">
        <f aca="false">Y14+Y22</f>
        <v>265459.077839283</v>
      </c>
      <c r="Z23" s="70" t="n">
        <f aca="false">Z14+Z22</f>
        <v>200111.392248564</v>
      </c>
      <c r="AA23" s="70" t="n">
        <f aca="false">AA14+AA22</f>
        <v>223982.715287039</v>
      </c>
      <c r="AB23" s="70" t="n">
        <f aca="false">AB14+AB22</f>
        <v>275914.304708904</v>
      </c>
    </row>
    <row r="24" customFormat="false" ht="15" hidden="false" customHeight="false" outlineLevel="0" collapsed="false">
      <c r="A24" s="29" t="s">
        <v>362</v>
      </c>
      <c r="B24" s="60"/>
      <c r="C24" s="63" t="n">
        <f aca="false">IF(C14=0,0,C23/C14)</f>
        <v>0.368846974934972</v>
      </c>
      <c r="D24" s="63" t="n">
        <f aca="false">IF(D14=0,0,D23/D14)</f>
        <v>0.348415162107065</v>
      </c>
      <c r="E24" s="64" t="n">
        <f aca="false">IF(E14=0,0,E23/E14)</f>
        <v>0.256604972283896</v>
      </c>
      <c r="F24" s="64" t="n">
        <f aca="false">IF(F14=0,0,F23/F14)</f>
        <v>0.280610614617165</v>
      </c>
      <c r="G24" s="64" t="n">
        <f aca="false">IF(G14=0,0,G23/G14)</f>
        <v>0.415777094750374</v>
      </c>
      <c r="H24" s="64" t="n">
        <f aca="false">IF(H14=0,0,H23/H14)</f>
        <v>0.327308033827947</v>
      </c>
      <c r="I24" s="64" t="n">
        <f aca="false">IF(I14=0,0,I23/I14)</f>
        <v>0.301335953951396</v>
      </c>
      <c r="J24" s="64" t="n">
        <f aca="false">IF(J14=0,0,J23/J14)</f>
        <v>0.410155092109487</v>
      </c>
      <c r="K24" s="64" t="n">
        <f aca="false">IF(K14=0,0,K23/K14)</f>
        <v>0.358052659962599</v>
      </c>
      <c r="L24" s="64" t="n">
        <f aca="false">IF(L14=0,0,L23/L14)</f>
        <v>0.24305481513251</v>
      </c>
      <c r="M24" s="64" t="n">
        <f aca="false">IF(M14=0,0,M23/M14)</f>
        <v>0.426915915002411</v>
      </c>
      <c r="N24" s="64" t="n">
        <f aca="false">IF(N14=0,0,N23/N14)</f>
        <v>0.401223254894538</v>
      </c>
      <c r="O24" s="64" t="n">
        <f aca="false">IF(O14=0,0,O23/O14)</f>
        <v>0.42926943659539</v>
      </c>
      <c r="P24" s="64" t="n">
        <f aca="false">IF(P14=0,0,P23/P14)</f>
        <v>0.449962009669858</v>
      </c>
      <c r="Q24" s="64" t="n">
        <f aca="false">IF(Q14=0,0,Q23/Q14)</f>
        <v>0.359477296142397</v>
      </c>
      <c r="R24" s="64" t="n">
        <f aca="false">IF(R14=0,0,R23/R14)</f>
        <v>0.380014868486566</v>
      </c>
      <c r="S24" s="64" t="n">
        <f aca="false">IF(S14=0,0,S23/S14)</f>
        <v>0.395513048310975</v>
      </c>
      <c r="T24" s="64" t="n">
        <f aca="false">IF(T14=0,0,T23/T14)</f>
        <v>0.384868254328146</v>
      </c>
      <c r="U24" s="64" t="n">
        <f aca="false">IF(U14=0,0,U23/U14)</f>
        <v>0.20275025505694</v>
      </c>
      <c r="V24" s="64" t="n">
        <f aca="false">IF(V14=0,0,V23/V14)</f>
        <v>0.385779590368935</v>
      </c>
      <c r="W24" s="64" t="n">
        <f aca="false">IF(W14=0,0,W23/W14)</f>
        <v>0.358468508384206</v>
      </c>
      <c r="X24" s="64" t="n">
        <f aca="false">IF(X14=0,0,X23/X14)</f>
        <v>0.264432443700762</v>
      </c>
      <c r="Y24" s="64" t="n">
        <f aca="false">IF(Y14=0,0,Y23/Y14)</f>
        <v>0.370163405628966</v>
      </c>
      <c r="Z24" s="64" t="n">
        <f aca="false">IF(Z14=0,0,Z23/Z14)</f>
        <v>0.30968212782336</v>
      </c>
      <c r="AA24" s="64" t="n">
        <f aca="false">IF(AA14=0,0,AA23/AA14)</f>
        <v>0.333576523216432</v>
      </c>
      <c r="AB24" s="64" t="n">
        <f aca="false">IF(AB14=0,0,AB23/AB14)</f>
        <v>0.379820211036671</v>
      </c>
    </row>
    <row r="25" customFormat="false" ht="15" hidden="false" customHeight="false" outlineLevel="0" collapsed="false">
      <c r="A25" s="23" t="s">
        <v>363</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row>
    <row r="26" customFormat="false" ht="15" hidden="false" customHeight="false" outlineLevel="0" collapsed="false">
      <c r="A26" s="29" t="s">
        <v>364</v>
      </c>
      <c r="B26" s="60" t="s">
        <v>58</v>
      </c>
      <c r="C26" s="61" t="n">
        <f aca="false">SUM(E26:P26)</f>
        <v>-787409.4598</v>
      </c>
      <c r="D26" s="61" t="n">
        <f aca="false">SUM(Q26:AB26)</f>
        <v>-818727.541776</v>
      </c>
      <c r="E26" s="62" t="n">
        <f aca="false">-People!E140</f>
        <v>-65562.15</v>
      </c>
      <c r="F26" s="62" t="n">
        <f aca="false">-People!F140</f>
        <v>-65787.25</v>
      </c>
      <c r="G26" s="62" t="n">
        <f aca="false">-People!G140</f>
        <v>-65501.51</v>
      </c>
      <c r="H26" s="62" t="n">
        <f aca="false">-People!H140</f>
        <v>-65599.52</v>
      </c>
      <c r="I26" s="62" t="n">
        <f aca="false">-People!I140</f>
        <v>-65661.2</v>
      </c>
      <c r="J26" s="62" t="n">
        <f aca="false">-People!J140</f>
        <v>-65647.84</v>
      </c>
      <c r="K26" s="62" t="n">
        <f aca="false">-People!K140</f>
        <v>-65802.98</v>
      </c>
      <c r="L26" s="62" t="n">
        <f aca="false">-People!L140</f>
        <v>-65568.24</v>
      </c>
      <c r="M26" s="62" t="n">
        <f aca="false">-People!M140</f>
        <v>-65569.69245</v>
      </c>
      <c r="N26" s="62" t="n">
        <f aca="false">-People!N140</f>
        <v>-65569.69245</v>
      </c>
      <c r="O26" s="62" t="n">
        <f aca="false">-People!O140</f>
        <v>-65569.69245</v>
      </c>
      <c r="P26" s="62" t="n">
        <f aca="false">-People!P140</f>
        <v>-65569.69245</v>
      </c>
      <c r="Q26" s="62" t="n">
        <f aca="false">-People!Q140</f>
        <v>-68227.295148</v>
      </c>
      <c r="R26" s="62" t="n">
        <f aca="false">-People!R140</f>
        <v>-68227.295148</v>
      </c>
      <c r="S26" s="62" t="n">
        <f aca="false">-People!S140</f>
        <v>-68227.295148</v>
      </c>
      <c r="T26" s="62" t="n">
        <f aca="false">-People!T140</f>
        <v>-68227.295148</v>
      </c>
      <c r="U26" s="62" t="n">
        <f aca="false">-People!U140</f>
        <v>-68227.295148</v>
      </c>
      <c r="V26" s="62" t="n">
        <f aca="false">-People!V140</f>
        <v>-68227.295148</v>
      </c>
      <c r="W26" s="62" t="n">
        <f aca="false">-People!W140</f>
        <v>-68227.295148</v>
      </c>
      <c r="X26" s="62" t="n">
        <f aca="false">-People!X140</f>
        <v>-68227.295148</v>
      </c>
      <c r="Y26" s="62" t="n">
        <f aca="false">-People!Y140</f>
        <v>-68227.295148</v>
      </c>
      <c r="Z26" s="62" t="n">
        <f aca="false">-People!Z140</f>
        <v>-68227.295148</v>
      </c>
      <c r="AA26" s="62" t="n">
        <f aca="false">-People!AA140</f>
        <v>-68227.295148</v>
      </c>
      <c r="AB26" s="62" t="n">
        <f aca="false">-People!AB140</f>
        <v>-68227.295148</v>
      </c>
    </row>
    <row r="27" customFormat="false" ht="15" hidden="false" customHeight="false" outlineLevel="0" collapsed="false">
      <c r="A27" s="29" t="s">
        <v>365</v>
      </c>
      <c r="B27" s="60" t="s">
        <v>58</v>
      </c>
      <c r="C27" s="61" t="n">
        <f aca="false">SUM(E27:P27)</f>
        <v>-23852.91871248</v>
      </c>
      <c r="D27" s="61" t="n">
        <f aca="false">SUM(Q27:AB27)</f>
        <v>-28084.500003456</v>
      </c>
      <c r="E27" s="62" t="n">
        <f aca="false">-People!E147</f>
        <v>-1851.841969656</v>
      </c>
      <c r="F27" s="62" t="n">
        <f aca="false">-People!F147</f>
        <v>-1862.901278448</v>
      </c>
      <c r="G27" s="62" t="n">
        <f aca="false">-People!G147</f>
        <v>-1850.619633072</v>
      </c>
      <c r="H27" s="62" t="n">
        <f aca="false">-People!H147</f>
        <v>-1853.398646736</v>
      </c>
      <c r="I27" s="62" t="n">
        <f aca="false">-People!I147</f>
        <v>-1858.815065016</v>
      </c>
      <c r="J27" s="62" t="n">
        <f aca="false">-People!J147</f>
        <v>-1856.634694656</v>
      </c>
      <c r="K27" s="62" t="n">
        <f aca="false">-People!K147</f>
        <v>-1864.586272752</v>
      </c>
      <c r="L27" s="62" t="n">
        <f aca="false">-People!L147</f>
        <v>-1852.678843344</v>
      </c>
      <c r="M27" s="62" t="n">
        <f aca="false">-People!M147</f>
        <v>-2250.3605772</v>
      </c>
      <c r="N27" s="62" t="n">
        <f aca="false">-People!N147</f>
        <v>-2250.3605772</v>
      </c>
      <c r="O27" s="62" t="n">
        <f aca="false">-People!O147</f>
        <v>-2250.3605772</v>
      </c>
      <c r="P27" s="62" t="n">
        <f aca="false">-People!P147</f>
        <v>-2250.3605772</v>
      </c>
      <c r="Q27" s="62" t="n">
        <f aca="false">-People!Q147</f>
        <v>-2340.375000288</v>
      </c>
      <c r="R27" s="62" t="n">
        <f aca="false">-People!R147</f>
        <v>-2340.375000288</v>
      </c>
      <c r="S27" s="62" t="n">
        <f aca="false">-People!S147</f>
        <v>-2340.375000288</v>
      </c>
      <c r="T27" s="62" t="n">
        <f aca="false">-People!T147</f>
        <v>-2340.375000288</v>
      </c>
      <c r="U27" s="62" t="n">
        <f aca="false">-People!U147</f>
        <v>-2340.375000288</v>
      </c>
      <c r="V27" s="62" t="n">
        <f aca="false">-People!V147</f>
        <v>-2340.375000288</v>
      </c>
      <c r="W27" s="62" t="n">
        <f aca="false">-People!W147</f>
        <v>-2340.375000288</v>
      </c>
      <c r="X27" s="62" t="n">
        <f aca="false">-People!X147</f>
        <v>-2340.375000288</v>
      </c>
      <c r="Y27" s="62" t="n">
        <f aca="false">-People!Y147</f>
        <v>-2340.375000288</v>
      </c>
      <c r="Z27" s="62" t="n">
        <f aca="false">-People!Z147</f>
        <v>-2340.375000288</v>
      </c>
      <c r="AA27" s="62" t="n">
        <f aca="false">-People!AA147</f>
        <v>-2340.375000288</v>
      </c>
      <c r="AB27" s="62" t="n">
        <f aca="false">-People!AB147</f>
        <v>-2340.375000288</v>
      </c>
    </row>
    <row r="28" customFormat="false" ht="15" hidden="false" customHeight="false" outlineLevel="0" collapsed="false">
      <c r="A28" s="29" t="s">
        <v>366</v>
      </c>
      <c r="B28" s="60" t="s">
        <v>58</v>
      </c>
      <c r="C28" s="61" t="n">
        <f aca="false">SUM(E28:P28)</f>
        <v>0</v>
      </c>
      <c r="D28" s="61" t="n">
        <f aca="false">SUM(Q28:AB28)</f>
        <v>0</v>
      </c>
      <c r="E28" s="62" t="n">
        <f aca="false">-People!E36</f>
        <v>-0</v>
      </c>
      <c r="F28" s="62" t="n">
        <f aca="false">-People!F36</f>
        <v>-0</v>
      </c>
      <c r="G28" s="62" t="n">
        <f aca="false">-People!G36</f>
        <v>-0</v>
      </c>
      <c r="H28" s="62" t="n">
        <f aca="false">-People!H36</f>
        <v>-0</v>
      </c>
      <c r="I28" s="62" t="n">
        <f aca="false">-People!I36</f>
        <v>-0</v>
      </c>
      <c r="J28" s="62" t="n">
        <f aca="false">-People!J36</f>
        <v>-0</v>
      </c>
      <c r="K28" s="62" t="n">
        <f aca="false">-People!K36</f>
        <v>-0</v>
      </c>
      <c r="L28" s="62" t="n">
        <f aca="false">-People!L36</f>
        <v>-0</v>
      </c>
      <c r="M28" s="62" t="n">
        <f aca="false">-People!M36</f>
        <v>-0</v>
      </c>
      <c r="N28" s="62" t="n">
        <f aca="false">-People!N36</f>
        <v>-0</v>
      </c>
      <c r="O28" s="62" t="n">
        <f aca="false">-People!O36</f>
        <v>-0</v>
      </c>
      <c r="P28" s="62" t="n">
        <f aca="false">-People!P36</f>
        <v>-0</v>
      </c>
      <c r="Q28" s="62" t="n">
        <f aca="false">-People!Q36</f>
        <v>-0</v>
      </c>
      <c r="R28" s="62" t="n">
        <f aca="false">-People!R36</f>
        <v>-0</v>
      </c>
      <c r="S28" s="62" t="n">
        <f aca="false">-People!S36</f>
        <v>-0</v>
      </c>
      <c r="T28" s="62" t="n">
        <f aca="false">-People!T36</f>
        <v>-0</v>
      </c>
      <c r="U28" s="62" t="n">
        <f aca="false">-People!U36</f>
        <v>-0</v>
      </c>
      <c r="V28" s="62" t="n">
        <f aca="false">-People!V36</f>
        <v>-0</v>
      </c>
      <c r="W28" s="62" t="n">
        <f aca="false">-People!W36</f>
        <v>-0</v>
      </c>
      <c r="X28" s="62" t="n">
        <f aca="false">-People!X36</f>
        <v>-0</v>
      </c>
      <c r="Y28" s="62" t="n">
        <f aca="false">-People!Y36</f>
        <v>-0</v>
      </c>
      <c r="Z28" s="62" t="n">
        <f aca="false">-People!Z36</f>
        <v>-0</v>
      </c>
      <c r="AA28" s="62" t="n">
        <f aca="false">-People!AA36</f>
        <v>-0</v>
      </c>
      <c r="AB28" s="62" t="n">
        <f aca="false">-People!AB36</f>
        <v>-0</v>
      </c>
    </row>
    <row r="29" customFormat="false" ht="15" hidden="false" customHeight="false" outlineLevel="0" collapsed="false">
      <c r="A29" s="29" t="s">
        <v>367</v>
      </c>
      <c r="B29" s="60" t="s">
        <v>74</v>
      </c>
      <c r="C29" s="61" t="n">
        <f aca="false">SUM(E29:P29)</f>
        <v>-288000</v>
      </c>
      <c r="D29" s="61" t="n">
        <f aca="false">SUM(Q29:AB29)</f>
        <v>-296640</v>
      </c>
      <c r="E29" s="62" t="n">
        <f aca="false">-Overheads!E21</f>
        <v>-24000</v>
      </c>
      <c r="F29" s="62" t="n">
        <f aca="false">-Overheads!F21</f>
        <v>-24000</v>
      </c>
      <c r="G29" s="62" t="n">
        <f aca="false">-Overheads!G21</f>
        <v>-24000</v>
      </c>
      <c r="H29" s="62" t="n">
        <f aca="false">-Overheads!H21</f>
        <v>-24000</v>
      </c>
      <c r="I29" s="62" t="n">
        <f aca="false">-Overheads!I21</f>
        <v>-24000</v>
      </c>
      <c r="J29" s="62" t="n">
        <f aca="false">-Overheads!J21</f>
        <v>-24000</v>
      </c>
      <c r="K29" s="62" t="n">
        <f aca="false">-Overheads!K21</f>
        <v>-24000</v>
      </c>
      <c r="L29" s="62" t="n">
        <f aca="false">-Overheads!L21</f>
        <v>-24000</v>
      </c>
      <c r="M29" s="62" t="n">
        <f aca="false">-Overheads!M21</f>
        <v>-24000</v>
      </c>
      <c r="N29" s="62" t="n">
        <f aca="false">-Overheads!N21</f>
        <v>-24000</v>
      </c>
      <c r="O29" s="62" t="n">
        <f aca="false">-Overheads!O21</f>
        <v>-24000</v>
      </c>
      <c r="P29" s="62" t="n">
        <f aca="false">-Overheads!P21</f>
        <v>-24000</v>
      </c>
      <c r="Q29" s="62" t="n">
        <f aca="false">-Overheads!Q21</f>
        <v>-24720</v>
      </c>
      <c r="R29" s="62" t="n">
        <f aca="false">-Overheads!R21</f>
        <v>-24720</v>
      </c>
      <c r="S29" s="62" t="n">
        <f aca="false">-Overheads!S21</f>
        <v>-24720</v>
      </c>
      <c r="T29" s="62" t="n">
        <f aca="false">-Overheads!T21</f>
        <v>-24720</v>
      </c>
      <c r="U29" s="62" t="n">
        <f aca="false">-Overheads!U21</f>
        <v>-24720</v>
      </c>
      <c r="V29" s="62" t="n">
        <f aca="false">-Overheads!V21</f>
        <v>-24720</v>
      </c>
      <c r="W29" s="62" t="n">
        <f aca="false">-Overheads!W21</f>
        <v>-24720</v>
      </c>
      <c r="X29" s="62" t="n">
        <f aca="false">-Overheads!X21</f>
        <v>-24720</v>
      </c>
      <c r="Y29" s="62" t="n">
        <f aca="false">-Overheads!Y21</f>
        <v>-24720</v>
      </c>
      <c r="Z29" s="62" t="n">
        <f aca="false">-Overheads!Z21</f>
        <v>-24720</v>
      </c>
      <c r="AA29" s="62" t="n">
        <f aca="false">-Overheads!AA21</f>
        <v>-24720</v>
      </c>
      <c r="AB29" s="62" t="n">
        <f aca="false">-Overheads!AB21</f>
        <v>-24720</v>
      </c>
    </row>
    <row r="30" customFormat="false" ht="15" hidden="false" customHeight="false" outlineLevel="0" collapsed="false">
      <c r="A30" s="29" t="s">
        <v>368</v>
      </c>
      <c r="B30" s="60" t="s">
        <v>74</v>
      </c>
      <c r="C30" s="61" t="n">
        <f aca="false">SUM(E30:P30)</f>
        <v>-157419</v>
      </c>
      <c r="D30" s="61" t="n">
        <f aca="false">SUM(Q30:AB30)</f>
        <v>-166860</v>
      </c>
      <c r="E30" s="62" t="n">
        <f aca="false">-Overheads!E22</f>
        <v>-13323</v>
      </c>
      <c r="F30" s="62" t="n">
        <f aca="false">-Overheads!F22</f>
        <v>-11848</v>
      </c>
      <c r="G30" s="62" t="n">
        <f aca="false">-Overheads!G22</f>
        <v>-13014</v>
      </c>
      <c r="H30" s="62" t="n">
        <f aca="false">-Overheads!H22</f>
        <v>-13385</v>
      </c>
      <c r="I30" s="62" t="n">
        <f aca="false">-Overheads!I22</f>
        <v>-12393</v>
      </c>
      <c r="J30" s="62" t="n">
        <f aca="false">-Overheads!J22</f>
        <v>-12973</v>
      </c>
      <c r="K30" s="62" t="n">
        <f aca="false">-Overheads!K22</f>
        <v>-14038</v>
      </c>
      <c r="L30" s="62" t="n">
        <f aca="false">-Overheads!L22</f>
        <v>-12445</v>
      </c>
      <c r="M30" s="62" t="n">
        <f aca="false">-Overheads!M22</f>
        <v>-13500</v>
      </c>
      <c r="N30" s="62" t="n">
        <f aca="false">-Overheads!N22</f>
        <v>-13500</v>
      </c>
      <c r="O30" s="62" t="n">
        <f aca="false">-Overheads!O22</f>
        <v>-13500</v>
      </c>
      <c r="P30" s="62" t="n">
        <f aca="false">-Overheads!P22</f>
        <v>-13500</v>
      </c>
      <c r="Q30" s="62" t="n">
        <f aca="false">-Overheads!Q22</f>
        <v>-13905</v>
      </c>
      <c r="R30" s="62" t="n">
        <f aca="false">-Overheads!R22</f>
        <v>-13905</v>
      </c>
      <c r="S30" s="62" t="n">
        <f aca="false">-Overheads!S22</f>
        <v>-13905</v>
      </c>
      <c r="T30" s="62" t="n">
        <f aca="false">-Overheads!T22</f>
        <v>-13905</v>
      </c>
      <c r="U30" s="62" t="n">
        <f aca="false">-Overheads!U22</f>
        <v>-13905</v>
      </c>
      <c r="V30" s="62" t="n">
        <f aca="false">-Overheads!V22</f>
        <v>-13905</v>
      </c>
      <c r="W30" s="62" t="n">
        <f aca="false">-Overheads!W22</f>
        <v>-13905</v>
      </c>
      <c r="X30" s="62" t="n">
        <f aca="false">-Overheads!X22</f>
        <v>-13905</v>
      </c>
      <c r="Y30" s="62" t="n">
        <f aca="false">-Overheads!Y22</f>
        <v>-13905</v>
      </c>
      <c r="Z30" s="62" t="n">
        <f aca="false">-Overheads!Z22</f>
        <v>-13905</v>
      </c>
      <c r="AA30" s="62" t="n">
        <f aca="false">-Overheads!AA22</f>
        <v>-13905</v>
      </c>
      <c r="AB30" s="62" t="n">
        <f aca="false">-Overheads!AB22</f>
        <v>-13905</v>
      </c>
    </row>
    <row r="31" customFormat="false" ht="15" hidden="false" customHeight="false" outlineLevel="0" collapsed="false">
      <c r="A31" s="29" t="s">
        <v>369</v>
      </c>
      <c r="B31" s="60" t="s">
        <v>74</v>
      </c>
      <c r="C31" s="61" t="n">
        <f aca="false">SUM(E31:P31)</f>
        <v>-75600</v>
      </c>
      <c r="D31" s="61" t="n">
        <f aca="false">SUM(Q31:AB31)</f>
        <v>-77868</v>
      </c>
      <c r="E31" s="62" t="n">
        <f aca="false">-Overheads!E23</f>
        <v>-6300</v>
      </c>
      <c r="F31" s="62" t="n">
        <f aca="false">-Overheads!F23</f>
        <v>-6300</v>
      </c>
      <c r="G31" s="62" t="n">
        <f aca="false">-Overheads!G23</f>
        <v>-6300</v>
      </c>
      <c r="H31" s="62" t="n">
        <f aca="false">-Overheads!H23</f>
        <v>-6300</v>
      </c>
      <c r="I31" s="62" t="n">
        <f aca="false">-Overheads!I23</f>
        <v>-6300</v>
      </c>
      <c r="J31" s="62" t="n">
        <f aca="false">-Overheads!J23</f>
        <v>-6300</v>
      </c>
      <c r="K31" s="62" t="n">
        <f aca="false">-Overheads!K23</f>
        <v>-6300</v>
      </c>
      <c r="L31" s="62" t="n">
        <f aca="false">-Overheads!L23</f>
        <v>-6300</v>
      </c>
      <c r="M31" s="62" t="n">
        <f aca="false">-Overheads!M23</f>
        <v>-6300</v>
      </c>
      <c r="N31" s="62" t="n">
        <f aca="false">-Overheads!N23</f>
        <v>-6300</v>
      </c>
      <c r="O31" s="62" t="n">
        <f aca="false">-Overheads!O23</f>
        <v>-6300</v>
      </c>
      <c r="P31" s="62" t="n">
        <f aca="false">-Overheads!P23</f>
        <v>-6300</v>
      </c>
      <c r="Q31" s="62" t="n">
        <f aca="false">-Overheads!Q23</f>
        <v>-6489</v>
      </c>
      <c r="R31" s="62" t="n">
        <f aca="false">-Overheads!R23</f>
        <v>-6489</v>
      </c>
      <c r="S31" s="62" t="n">
        <f aca="false">-Overheads!S23</f>
        <v>-6489</v>
      </c>
      <c r="T31" s="62" t="n">
        <f aca="false">-Overheads!T23</f>
        <v>-6489</v>
      </c>
      <c r="U31" s="62" t="n">
        <f aca="false">-Overheads!U23</f>
        <v>-6489</v>
      </c>
      <c r="V31" s="62" t="n">
        <f aca="false">-Overheads!V23</f>
        <v>-6489</v>
      </c>
      <c r="W31" s="62" t="n">
        <f aca="false">-Overheads!W23</f>
        <v>-6489</v>
      </c>
      <c r="X31" s="62" t="n">
        <f aca="false">-Overheads!X23</f>
        <v>-6489</v>
      </c>
      <c r="Y31" s="62" t="n">
        <f aca="false">-Overheads!Y23</f>
        <v>-6489</v>
      </c>
      <c r="Z31" s="62" t="n">
        <f aca="false">-Overheads!Z23</f>
        <v>-6489</v>
      </c>
      <c r="AA31" s="62" t="n">
        <f aca="false">-Overheads!AA23</f>
        <v>-6489</v>
      </c>
      <c r="AB31" s="62" t="n">
        <f aca="false">-Overheads!AB23</f>
        <v>-6489</v>
      </c>
    </row>
    <row r="32" customFormat="false" ht="15" hidden="false" customHeight="false" outlineLevel="0" collapsed="false">
      <c r="A32" s="29" t="s">
        <v>370</v>
      </c>
      <c r="B32" s="60" t="s">
        <v>74</v>
      </c>
      <c r="C32" s="61" t="n">
        <f aca="false">SUM(E32:P32)</f>
        <v>-101160</v>
      </c>
      <c r="D32" s="61" t="n">
        <f aca="false">SUM(Q32:AB32)</f>
        <v>-84359.84</v>
      </c>
      <c r="E32" s="62" t="n">
        <f aca="false">-Overheads!E24</f>
        <v>-2600</v>
      </c>
      <c r="F32" s="62" t="n">
        <f aca="false">-Overheads!F24</f>
        <v>-27140</v>
      </c>
      <c r="G32" s="62" t="n">
        <f aca="false">-Overheads!G24</f>
        <v>-5000</v>
      </c>
      <c r="H32" s="62" t="n">
        <f aca="false">-Overheads!H24</f>
        <v>-2400</v>
      </c>
      <c r="I32" s="62" t="n">
        <f aca="false">-Overheads!I24</f>
        <v>-5000</v>
      </c>
      <c r="J32" s="62" t="n">
        <f aca="false">-Overheads!J24</f>
        <v>-2600</v>
      </c>
      <c r="K32" s="62" t="n">
        <f aca="false">-Overheads!K24</f>
        <v>-20760</v>
      </c>
      <c r="L32" s="62" t="n">
        <f aca="false">-Overheads!L24</f>
        <v>-2400</v>
      </c>
      <c r="M32" s="62" t="n">
        <f aca="false">-Overheads!M24</f>
        <v>-7500</v>
      </c>
      <c r="N32" s="62" t="n">
        <f aca="false">-Overheads!N24</f>
        <v>-20760</v>
      </c>
      <c r="O32" s="62" t="n">
        <f aca="false">-Overheads!O24</f>
        <v>-2500</v>
      </c>
      <c r="P32" s="62" t="n">
        <f aca="false">-Overheads!P24</f>
        <v>-2500</v>
      </c>
      <c r="Q32" s="62" t="n">
        <f aca="false">-Overheads!Q24</f>
        <v>-34378.2</v>
      </c>
      <c r="R32" s="62" t="n">
        <f aca="false">-Overheads!R24</f>
        <v>-2575</v>
      </c>
      <c r="S32" s="62" t="n">
        <f aca="false">-Overheads!S24</f>
        <v>-2575</v>
      </c>
      <c r="T32" s="62" t="n">
        <f aca="false">-Overheads!T24</f>
        <v>-19231.64</v>
      </c>
      <c r="U32" s="62" t="n">
        <f aca="false">-Overheads!U24</f>
        <v>-2575</v>
      </c>
      <c r="V32" s="62" t="n">
        <f aca="false">-Overheads!V24</f>
        <v>-2575</v>
      </c>
      <c r="W32" s="62" t="n">
        <f aca="false">-Overheads!W24</f>
        <v>-2575</v>
      </c>
      <c r="X32" s="62" t="n">
        <f aca="false">-Overheads!X24</f>
        <v>-2575</v>
      </c>
      <c r="Y32" s="62" t="n">
        <f aca="false">-Overheads!Y24</f>
        <v>-7575</v>
      </c>
      <c r="Z32" s="62" t="n">
        <f aca="false">-Overheads!Z24</f>
        <v>-2575</v>
      </c>
      <c r="AA32" s="62" t="n">
        <f aca="false">-Overheads!AA24</f>
        <v>-2575</v>
      </c>
      <c r="AB32" s="62" t="n">
        <f aca="false">-Overheads!AB24</f>
        <v>-2575</v>
      </c>
    </row>
    <row r="33" customFormat="false" ht="15" hidden="false" customHeight="false" outlineLevel="0" collapsed="false">
      <c r="A33" s="29" t="s">
        <v>371</v>
      </c>
      <c r="B33" s="60" t="s">
        <v>74</v>
      </c>
      <c r="C33" s="61" t="n">
        <f aca="false">SUM(E33:P33)</f>
        <v>-97892</v>
      </c>
      <c r="D33" s="61" t="n">
        <f aca="false">SUM(Q33:AB33)</f>
        <v>-105060</v>
      </c>
      <c r="E33" s="62" t="n">
        <f aca="false">-Overheads!E25</f>
        <v>-5271</v>
      </c>
      <c r="F33" s="62" t="n">
        <f aca="false">-Overheads!F25</f>
        <v>-8257</v>
      </c>
      <c r="G33" s="62" t="n">
        <f aca="false">-Overheads!G25</f>
        <v>-10457</v>
      </c>
      <c r="H33" s="62" t="n">
        <f aca="false">-Overheads!H25</f>
        <v>-8493</v>
      </c>
      <c r="I33" s="62" t="n">
        <f aca="false">-Overheads!I25</f>
        <v>-12186</v>
      </c>
      <c r="J33" s="62" t="n">
        <f aca="false">-Overheads!J25</f>
        <v>-9257</v>
      </c>
      <c r="K33" s="62" t="n">
        <f aca="false">-Overheads!K25</f>
        <v>-5399</v>
      </c>
      <c r="L33" s="62" t="n">
        <f aca="false">-Overheads!L25</f>
        <v>-4572</v>
      </c>
      <c r="M33" s="62" t="n">
        <f aca="false">-Overheads!M25</f>
        <v>-8500</v>
      </c>
      <c r="N33" s="62" t="n">
        <f aca="false">-Overheads!N25</f>
        <v>-8500</v>
      </c>
      <c r="O33" s="62" t="n">
        <f aca="false">-Overheads!O25</f>
        <v>-8500</v>
      </c>
      <c r="P33" s="62" t="n">
        <f aca="false">-Overheads!P25</f>
        <v>-8500</v>
      </c>
      <c r="Q33" s="62" t="n">
        <f aca="false">-Overheads!Q25</f>
        <v>-8755</v>
      </c>
      <c r="R33" s="62" t="n">
        <f aca="false">-Overheads!R25</f>
        <v>-8755</v>
      </c>
      <c r="S33" s="62" t="n">
        <f aca="false">-Overheads!S25</f>
        <v>-8755</v>
      </c>
      <c r="T33" s="62" t="n">
        <f aca="false">-Overheads!T25</f>
        <v>-8755</v>
      </c>
      <c r="U33" s="62" t="n">
        <f aca="false">-Overheads!U25</f>
        <v>-8755</v>
      </c>
      <c r="V33" s="62" t="n">
        <f aca="false">-Overheads!V25</f>
        <v>-8755</v>
      </c>
      <c r="W33" s="62" t="n">
        <f aca="false">-Overheads!W25</f>
        <v>-8755</v>
      </c>
      <c r="X33" s="62" t="n">
        <f aca="false">-Overheads!X25</f>
        <v>-8755</v>
      </c>
      <c r="Y33" s="62" t="n">
        <f aca="false">-Overheads!Y25</f>
        <v>-8755</v>
      </c>
      <c r="Z33" s="62" t="n">
        <f aca="false">-Overheads!Z25</f>
        <v>-8755</v>
      </c>
      <c r="AA33" s="62" t="n">
        <f aca="false">-Overheads!AA25</f>
        <v>-8755</v>
      </c>
      <c r="AB33" s="62" t="n">
        <f aca="false">-Overheads!AB25</f>
        <v>-8755</v>
      </c>
    </row>
    <row r="34" customFormat="false" ht="15" hidden="false" customHeight="false" outlineLevel="0" collapsed="false">
      <c r="A34" s="29" t="s">
        <v>372</v>
      </c>
      <c r="B34" s="60" t="s">
        <v>74</v>
      </c>
      <c r="C34" s="61" t="n">
        <f aca="false">SUM(E34:P34)</f>
        <v>-65894</v>
      </c>
      <c r="D34" s="61" t="n">
        <f aca="false">SUM(Q34:AB34)</f>
        <v>-67980</v>
      </c>
      <c r="E34" s="62" t="n">
        <f aca="false">-Overheads!E26</f>
        <v>-5605</v>
      </c>
      <c r="F34" s="62" t="n">
        <f aca="false">-Overheads!F26</f>
        <v>-5445</v>
      </c>
      <c r="G34" s="62" t="n">
        <f aca="false">-Overheads!G26</f>
        <v>-6213</v>
      </c>
      <c r="H34" s="62" t="n">
        <f aca="false">-Overheads!H26</f>
        <v>-4981</v>
      </c>
      <c r="I34" s="62" t="n">
        <f aca="false">-Overheads!I26</f>
        <v>-5559</v>
      </c>
      <c r="J34" s="62" t="n">
        <f aca="false">-Overheads!J26</f>
        <v>-4687</v>
      </c>
      <c r="K34" s="62" t="n">
        <f aca="false">-Overheads!K26</f>
        <v>-5685</v>
      </c>
      <c r="L34" s="62" t="n">
        <f aca="false">-Overheads!L26</f>
        <v>-5719</v>
      </c>
      <c r="M34" s="62" t="n">
        <f aca="false">-Overheads!M26</f>
        <v>-5500</v>
      </c>
      <c r="N34" s="62" t="n">
        <f aca="false">-Overheads!N26</f>
        <v>-5500</v>
      </c>
      <c r="O34" s="62" t="n">
        <f aca="false">-Overheads!O26</f>
        <v>-5500</v>
      </c>
      <c r="P34" s="62" t="n">
        <f aca="false">-Overheads!P26</f>
        <v>-5500</v>
      </c>
      <c r="Q34" s="62" t="n">
        <f aca="false">-Overheads!Q26</f>
        <v>-5665</v>
      </c>
      <c r="R34" s="62" t="n">
        <f aca="false">-Overheads!R26</f>
        <v>-5665</v>
      </c>
      <c r="S34" s="62" t="n">
        <f aca="false">-Overheads!S26</f>
        <v>-5665</v>
      </c>
      <c r="T34" s="62" t="n">
        <f aca="false">-Overheads!T26</f>
        <v>-5665</v>
      </c>
      <c r="U34" s="62" t="n">
        <f aca="false">-Overheads!U26</f>
        <v>-5665</v>
      </c>
      <c r="V34" s="62" t="n">
        <f aca="false">-Overheads!V26</f>
        <v>-5665</v>
      </c>
      <c r="W34" s="62" t="n">
        <f aca="false">-Overheads!W26</f>
        <v>-5665</v>
      </c>
      <c r="X34" s="62" t="n">
        <f aca="false">-Overheads!X26</f>
        <v>-5665</v>
      </c>
      <c r="Y34" s="62" t="n">
        <f aca="false">-Overheads!Y26</f>
        <v>-5665</v>
      </c>
      <c r="Z34" s="62" t="n">
        <f aca="false">-Overheads!Z26</f>
        <v>-5665</v>
      </c>
      <c r="AA34" s="62" t="n">
        <f aca="false">-Overheads!AA26</f>
        <v>-5665</v>
      </c>
      <c r="AB34" s="62" t="n">
        <f aca="false">-Overheads!AB26</f>
        <v>-5665</v>
      </c>
    </row>
    <row r="35" customFormat="false" ht="15" hidden="false" customHeight="false" outlineLevel="0" collapsed="false">
      <c r="A35" s="29" t="s">
        <v>373</v>
      </c>
      <c r="B35" s="60" t="s">
        <v>74</v>
      </c>
      <c r="C35" s="61" t="n">
        <f aca="false">SUM(E35:P35)</f>
        <v>-46100</v>
      </c>
      <c r="D35" s="61" t="n">
        <f aca="false">SUM(Q35:AB35)</f>
        <v>-46968</v>
      </c>
      <c r="E35" s="62" t="n">
        <f aca="false">-Overheads!E27</f>
        <v>-4119</v>
      </c>
      <c r="F35" s="62" t="n">
        <f aca="false">-Overheads!F27</f>
        <v>-3907</v>
      </c>
      <c r="G35" s="62" t="n">
        <f aca="false">-Overheads!G27</f>
        <v>-3985</v>
      </c>
      <c r="H35" s="62" t="n">
        <f aca="false">-Overheads!H27</f>
        <v>-3702</v>
      </c>
      <c r="I35" s="62" t="n">
        <f aca="false">-Overheads!I27</f>
        <v>-4027</v>
      </c>
      <c r="J35" s="62" t="n">
        <f aca="false">-Overheads!J27</f>
        <v>-3507</v>
      </c>
      <c r="K35" s="62" t="n">
        <f aca="false">-Overheads!K27</f>
        <v>-3886</v>
      </c>
      <c r="L35" s="62" t="n">
        <f aca="false">-Overheads!L27</f>
        <v>-3767</v>
      </c>
      <c r="M35" s="62" t="n">
        <f aca="false">-Overheads!M27</f>
        <v>-3800</v>
      </c>
      <c r="N35" s="62" t="n">
        <f aca="false">-Overheads!N27</f>
        <v>-3800</v>
      </c>
      <c r="O35" s="62" t="n">
        <f aca="false">-Overheads!O27</f>
        <v>-3800</v>
      </c>
      <c r="P35" s="62" t="n">
        <f aca="false">-Overheads!P27</f>
        <v>-3800</v>
      </c>
      <c r="Q35" s="62" t="n">
        <f aca="false">-Overheads!Q27</f>
        <v>-3914</v>
      </c>
      <c r="R35" s="62" t="n">
        <f aca="false">-Overheads!R27</f>
        <v>-3914</v>
      </c>
      <c r="S35" s="62" t="n">
        <f aca="false">-Overheads!S27</f>
        <v>-3914</v>
      </c>
      <c r="T35" s="62" t="n">
        <f aca="false">-Overheads!T27</f>
        <v>-3914</v>
      </c>
      <c r="U35" s="62" t="n">
        <f aca="false">-Overheads!U27</f>
        <v>-3914</v>
      </c>
      <c r="V35" s="62" t="n">
        <f aca="false">-Overheads!V27</f>
        <v>-3914</v>
      </c>
      <c r="W35" s="62" t="n">
        <f aca="false">-Overheads!W27</f>
        <v>-3914</v>
      </c>
      <c r="X35" s="62" t="n">
        <f aca="false">-Overheads!X27</f>
        <v>-3914</v>
      </c>
      <c r="Y35" s="62" t="n">
        <f aca="false">-Overheads!Y27</f>
        <v>-3914</v>
      </c>
      <c r="Z35" s="62" t="n">
        <f aca="false">-Overheads!Z27</f>
        <v>-3914</v>
      </c>
      <c r="AA35" s="62" t="n">
        <f aca="false">-Overheads!AA27</f>
        <v>-3914</v>
      </c>
      <c r="AB35" s="62" t="n">
        <f aca="false">-Overheads!AB27</f>
        <v>-3914</v>
      </c>
    </row>
    <row r="36" customFormat="false" ht="15" hidden="false" customHeight="false" outlineLevel="0" collapsed="false">
      <c r="A36" s="29" t="s">
        <v>374</v>
      </c>
      <c r="B36" s="60" t="s">
        <v>74</v>
      </c>
      <c r="C36" s="61" t="n">
        <f aca="false">SUM(E36:P36)</f>
        <v>-71292</v>
      </c>
      <c r="D36" s="61" t="n">
        <f aca="false">SUM(Q36:AB36)</f>
        <v>-74160</v>
      </c>
      <c r="E36" s="62" t="n">
        <f aca="false">-Overheads!E28</f>
        <v>-6233</v>
      </c>
      <c r="F36" s="62" t="n">
        <f aca="false">-Overheads!F28</f>
        <v>-5637</v>
      </c>
      <c r="G36" s="62" t="n">
        <f aca="false">-Overheads!G28</f>
        <v>-5729</v>
      </c>
      <c r="H36" s="62" t="n">
        <f aca="false">-Overheads!H28</f>
        <v>-6326</v>
      </c>
      <c r="I36" s="62" t="n">
        <f aca="false">-Overheads!I28</f>
        <v>-5700</v>
      </c>
      <c r="J36" s="62" t="n">
        <f aca="false">-Overheads!J28</f>
        <v>-5710</v>
      </c>
      <c r="K36" s="62" t="n">
        <f aca="false">-Overheads!K28</f>
        <v>-5806</v>
      </c>
      <c r="L36" s="62" t="n">
        <f aca="false">-Overheads!L28</f>
        <v>-6151</v>
      </c>
      <c r="M36" s="62" t="n">
        <f aca="false">-Overheads!M28</f>
        <v>-6000</v>
      </c>
      <c r="N36" s="62" t="n">
        <f aca="false">-Overheads!N28</f>
        <v>-6000</v>
      </c>
      <c r="O36" s="62" t="n">
        <f aca="false">-Overheads!O28</f>
        <v>-6000</v>
      </c>
      <c r="P36" s="62" t="n">
        <f aca="false">-Overheads!P28</f>
        <v>-6000</v>
      </c>
      <c r="Q36" s="62" t="n">
        <f aca="false">-Overheads!Q28</f>
        <v>-6180</v>
      </c>
      <c r="R36" s="62" t="n">
        <f aca="false">-Overheads!R28</f>
        <v>-6180</v>
      </c>
      <c r="S36" s="62" t="n">
        <f aca="false">-Overheads!S28</f>
        <v>-6180</v>
      </c>
      <c r="T36" s="62" t="n">
        <f aca="false">-Overheads!T28</f>
        <v>-6180</v>
      </c>
      <c r="U36" s="62" t="n">
        <f aca="false">-Overheads!U28</f>
        <v>-6180</v>
      </c>
      <c r="V36" s="62" t="n">
        <f aca="false">-Overheads!V28</f>
        <v>-6180</v>
      </c>
      <c r="W36" s="62" t="n">
        <f aca="false">-Overheads!W28</f>
        <v>-6180</v>
      </c>
      <c r="X36" s="62" t="n">
        <f aca="false">-Overheads!X28</f>
        <v>-6180</v>
      </c>
      <c r="Y36" s="62" t="n">
        <f aca="false">-Overheads!Y28</f>
        <v>-6180</v>
      </c>
      <c r="Z36" s="62" t="n">
        <f aca="false">-Overheads!Z28</f>
        <v>-6180</v>
      </c>
      <c r="AA36" s="62" t="n">
        <f aca="false">-Overheads!AA28</f>
        <v>-6180</v>
      </c>
      <c r="AB36" s="62" t="n">
        <f aca="false">-Overheads!AB28</f>
        <v>-6180</v>
      </c>
    </row>
    <row r="37" customFormat="false" ht="15" hidden="false" customHeight="false" outlineLevel="0" collapsed="false">
      <c r="A37" s="29" t="s">
        <v>375</v>
      </c>
      <c r="B37" s="60" t="s">
        <v>74</v>
      </c>
      <c r="C37" s="61" t="n">
        <f aca="false">SUM(E37:P37)</f>
        <v>-50842</v>
      </c>
      <c r="D37" s="61" t="n">
        <f aca="false">SUM(Q37:AB37)</f>
        <v>-51912</v>
      </c>
      <c r="E37" s="62" t="n">
        <f aca="false">-Overheads!E29</f>
        <v>-3851</v>
      </c>
      <c r="F37" s="62" t="n">
        <f aca="false">-Overheads!F29</f>
        <v>-4498</v>
      </c>
      <c r="G37" s="62" t="n">
        <f aca="false">-Overheads!G29</f>
        <v>-4617</v>
      </c>
      <c r="H37" s="62" t="n">
        <f aca="false">-Overheads!H29</f>
        <v>-4280</v>
      </c>
      <c r="I37" s="62" t="n">
        <f aca="false">-Overheads!I29</f>
        <v>-4042</v>
      </c>
      <c r="J37" s="62" t="n">
        <f aca="false">-Overheads!J29</f>
        <v>-4355</v>
      </c>
      <c r="K37" s="62" t="n">
        <f aca="false">-Overheads!K29</f>
        <v>-4019</v>
      </c>
      <c r="L37" s="62" t="n">
        <f aca="false">-Overheads!L29</f>
        <v>-4380</v>
      </c>
      <c r="M37" s="62" t="n">
        <f aca="false">-Overheads!M29</f>
        <v>-4200</v>
      </c>
      <c r="N37" s="62" t="n">
        <f aca="false">-Overheads!N29</f>
        <v>-4200</v>
      </c>
      <c r="O37" s="62" t="n">
        <f aca="false">-Overheads!O29</f>
        <v>-4200</v>
      </c>
      <c r="P37" s="62" t="n">
        <f aca="false">-Overheads!P29</f>
        <v>-4200</v>
      </c>
      <c r="Q37" s="62" t="n">
        <f aca="false">-Overheads!Q29</f>
        <v>-4326</v>
      </c>
      <c r="R37" s="62" t="n">
        <f aca="false">-Overheads!R29</f>
        <v>-4326</v>
      </c>
      <c r="S37" s="62" t="n">
        <f aca="false">-Overheads!S29</f>
        <v>-4326</v>
      </c>
      <c r="T37" s="62" t="n">
        <f aca="false">-Overheads!T29</f>
        <v>-4326</v>
      </c>
      <c r="U37" s="62" t="n">
        <f aca="false">-Overheads!U29</f>
        <v>-4326</v>
      </c>
      <c r="V37" s="62" t="n">
        <f aca="false">-Overheads!V29</f>
        <v>-4326</v>
      </c>
      <c r="W37" s="62" t="n">
        <f aca="false">-Overheads!W29</f>
        <v>-4326</v>
      </c>
      <c r="X37" s="62" t="n">
        <f aca="false">-Overheads!X29</f>
        <v>-4326</v>
      </c>
      <c r="Y37" s="62" t="n">
        <f aca="false">-Overheads!Y29</f>
        <v>-4326</v>
      </c>
      <c r="Z37" s="62" t="n">
        <f aca="false">-Overheads!Z29</f>
        <v>-4326</v>
      </c>
      <c r="AA37" s="62" t="n">
        <f aca="false">-Overheads!AA29</f>
        <v>-4326</v>
      </c>
      <c r="AB37" s="62" t="n">
        <f aca="false">-Overheads!AB29</f>
        <v>-4326</v>
      </c>
    </row>
    <row r="38" customFormat="false" ht="15" hidden="false" customHeight="false" outlineLevel="0" collapsed="false">
      <c r="A38" s="29" t="s">
        <v>376</v>
      </c>
      <c r="B38" s="60" t="s">
        <v>74</v>
      </c>
      <c r="C38" s="61" t="n">
        <f aca="false">SUM(E38:P38)</f>
        <v>-25070</v>
      </c>
      <c r="D38" s="61" t="n">
        <f aca="false">SUM(Q38:AB38)</f>
        <v>-29664</v>
      </c>
      <c r="E38" s="62" t="n">
        <f aca="false">-Overheads!E30</f>
        <v>-1273</v>
      </c>
      <c r="F38" s="62" t="n">
        <f aca="false">-Overheads!F30</f>
        <v>-1886</v>
      </c>
      <c r="G38" s="62" t="n">
        <f aca="false">-Overheads!G30</f>
        <v>-2918</v>
      </c>
      <c r="H38" s="62" t="n">
        <f aca="false">-Overheads!H30</f>
        <v>-2101</v>
      </c>
      <c r="I38" s="62" t="n">
        <f aca="false">-Overheads!I30</f>
        <v>-2460</v>
      </c>
      <c r="J38" s="62" t="n">
        <f aca="false">-Overheads!J30</f>
        <v>-2320</v>
      </c>
      <c r="K38" s="62" t="n">
        <f aca="false">-Overheads!K30</f>
        <v>-1522</v>
      </c>
      <c r="L38" s="62" t="n">
        <f aca="false">-Overheads!L30</f>
        <v>-990</v>
      </c>
      <c r="M38" s="62" t="n">
        <f aca="false">-Overheads!M30</f>
        <v>-2400</v>
      </c>
      <c r="N38" s="62" t="n">
        <f aca="false">-Overheads!N30</f>
        <v>-2400</v>
      </c>
      <c r="O38" s="62" t="n">
        <f aca="false">-Overheads!O30</f>
        <v>-2400</v>
      </c>
      <c r="P38" s="62" t="n">
        <f aca="false">-Overheads!P30</f>
        <v>-2400</v>
      </c>
      <c r="Q38" s="62" t="n">
        <f aca="false">-Overheads!Q30</f>
        <v>-2472</v>
      </c>
      <c r="R38" s="62" t="n">
        <f aca="false">-Overheads!R30</f>
        <v>-2472</v>
      </c>
      <c r="S38" s="62" t="n">
        <f aca="false">-Overheads!S30</f>
        <v>-2472</v>
      </c>
      <c r="T38" s="62" t="n">
        <f aca="false">-Overheads!T30</f>
        <v>-2472</v>
      </c>
      <c r="U38" s="62" t="n">
        <f aca="false">-Overheads!U30</f>
        <v>-2472</v>
      </c>
      <c r="V38" s="62" t="n">
        <f aca="false">-Overheads!V30</f>
        <v>-2472</v>
      </c>
      <c r="W38" s="62" t="n">
        <f aca="false">-Overheads!W30</f>
        <v>-2472</v>
      </c>
      <c r="X38" s="62" t="n">
        <f aca="false">-Overheads!X30</f>
        <v>-2472</v>
      </c>
      <c r="Y38" s="62" t="n">
        <f aca="false">-Overheads!Y30</f>
        <v>-2472</v>
      </c>
      <c r="Z38" s="62" t="n">
        <f aca="false">-Overheads!Z30</f>
        <v>-2472</v>
      </c>
      <c r="AA38" s="62" t="n">
        <f aca="false">-Overheads!AA30</f>
        <v>-2472</v>
      </c>
      <c r="AB38" s="62" t="n">
        <f aca="false">-Overheads!AB30</f>
        <v>-2472</v>
      </c>
    </row>
    <row r="39" customFormat="false" ht="15" hidden="false" customHeight="false" outlineLevel="0" collapsed="false">
      <c r="A39" s="29" t="s">
        <v>377</v>
      </c>
      <c r="B39" s="60" t="s">
        <v>74</v>
      </c>
      <c r="C39" s="61" t="n">
        <f aca="false">SUM(E39:P39)</f>
        <v>-5807</v>
      </c>
      <c r="D39" s="61" t="n">
        <f aca="false">SUM(Q39:AB39)</f>
        <v>-6180</v>
      </c>
      <c r="E39" s="62" t="n">
        <f aca="false">-Overheads!E31</f>
        <v>-474</v>
      </c>
      <c r="F39" s="62" t="n">
        <f aca="false">-Overheads!F31</f>
        <v>-452</v>
      </c>
      <c r="G39" s="62" t="n">
        <f aca="false">-Overheads!G31</f>
        <v>-527</v>
      </c>
      <c r="H39" s="62" t="n">
        <f aca="false">-Overheads!H31</f>
        <v>-434</v>
      </c>
      <c r="I39" s="62" t="n">
        <f aca="false">-Overheads!I31</f>
        <v>-439</v>
      </c>
      <c r="J39" s="62" t="n">
        <f aca="false">-Overheads!J31</f>
        <v>-516</v>
      </c>
      <c r="K39" s="62" t="n">
        <f aca="false">-Overheads!K31</f>
        <v>-459</v>
      </c>
      <c r="L39" s="62" t="n">
        <f aca="false">-Overheads!L31</f>
        <v>-506</v>
      </c>
      <c r="M39" s="62" t="n">
        <f aca="false">-Overheads!M31</f>
        <v>-500</v>
      </c>
      <c r="N39" s="62" t="n">
        <f aca="false">-Overheads!N31</f>
        <v>-500</v>
      </c>
      <c r="O39" s="62" t="n">
        <f aca="false">-Overheads!O31</f>
        <v>-500</v>
      </c>
      <c r="P39" s="62" t="n">
        <f aca="false">-Overheads!P31</f>
        <v>-500</v>
      </c>
      <c r="Q39" s="62" t="n">
        <f aca="false">-Overheads!Q31</f>
        <v>-515</v>
      </c>
      <c r="R39" s="62" t="n">
        <f aca="false">-Overheads!R31</f>
        <v>-515</v>
      </c>
      <c r="S39" s="62" t="n">
        <f aca="false">-Overheads!S31</f>
        <v>-515</v>
      </c>
      <c r="T39" s="62" t="n">
        <f aca="false">-Overheads!T31</f>
        <v>-515</v>
      </c>
      <c r="U39" s="62" t="n">
        <f aca="false">-Overheads!U31</f>
        <v>-515</v>
      </c>
      <c r="V39" s="62" t="n">
        <f aca="false">-Overheads!V31</f>
        <v>-515</v>
      </c>
      <c r="W39" s="62" t="n">
        <f aca="false">-Overheads!W31</f>
        <v>-515</v>
      </c>
      <c r="X39" s="62" t="n">
        <f aca="false">-Overheads!X31</f>
        <v>-515</v>
      </c>
      <c r="Y39" s="62" t="n">
        <f aca="false">-Overheads!Y31</f>
        <v>-515</v>
      </c>
      <c r="Z39" s="62" t="n">
        <f aca="false">-Overheads!Z31</f>
        <v>-515</v>
      </c>
      <c r="AA39" s="62" t="n">
        <f aca="false">-Overheads!AA31</f>
        <v>-515</v>
      </c>
      <c r="AB39" s="62" t="n">
        <f aca="false">-Overheads!AB31</f>
        <v>-515</v>
      </c>
    </row>
    <row r="40" customFormat="false" ht="15" hidden="false" customHeight="false" outlineLevel="0" collapsed="false">
      <c r="A40" s="29" t="s">
        <v>378</v>
      </c>
      <c r="B40" s="60" t="s">
        <v>62</v>
      </c>
      <c r="C40" s="61" t="n">
        <f aca="false">SUM(E40:P40)</f>
        <v>-117509.409211073</v>
      </c>
      <c r="D40" s="61" t="n">
        <f aca="false">SUM(Q40:AB40)</f>
        <v>601.962068623498</v>
      </c>
      <c r="E40" s="62" t="n">
        <f aca="false">-Receivables!E20</f>
        <v>1042.99836</v>
      </c>
      <c r="F40" s="62" t="n">
        <f aca="false">-Receivables!F20</f>
        <v>97.6446209999995</v>
      </c>
      <c r="G40" s="62" t="n">
        <f aca="false">-Receivables!G20</f>
        <v>-284.1589225</v>
      </c>
      <c r="H40" s="62" t="n">
        <f aca="false">-Receivables!H20</f>
        <v>-804.6187275</v>
      </c>
      <c r="I40" s="62" t="n">
        <f aca="false">-Receivables!I20</f>
        <v>379.788377</v>
      </c>
      <c r="J40" s="62" t="n">
        <f aca="false">-Receivables!J20</f>
        <v>-832.854468</v>
      </c>
      <c r="K40" s="62" t="n">
        <f aca="false">-Receivables!K20</f>
        <v>-116602.419567</v>
      </c>
      <c r="L40" s="62" t="n">
        <f aca="false">-Receivables!L20</f>
        <v>30.1905115000009</v>
      </c>
      <c r="M40" s="62" t="n">
        <f aca="false">-Receivables!M20</f>
        <v>290.446405830001</v>
      </c>
      <c r="N40" s="62" t="n">
        <f aca="false">-Receivables!N20</f>
        <v>-739.915675328262</v>
      </c>
      <c r="O40" s="62" t="n">
        <f aca="false">-Receivables!O20</f>
        <v>152.252503776424</v>
      </c>
      <c r="P40" s="62" t="n">
        <f aca="false">-Receivables!P20</f>
        <v>-238.762629851273</v>
      </c>
      <c r="Q40" s="62" t="n">
        <f aca="false">-Receivables!Q20</f>
        <v>17.6649599747016</v>
      </c>
      <c r="R40" s="62" t="n">
        <f aca="false">-Receivables!R20</f>
        <v>-10.9948651029345</v>
      </c>
      <c r="S40" s="62" t="n">
        <f aca="false">-Receivables!S20</f>
        <v>203.434892301798</v>
      </c>
      <c r="T40" s="62" t="n">
        <f aca="false">-Receivables!T20</f>
        <v>-11.1713112985854</v>
      </c>
      <c r="U40" s="62" t="n">
        <f aca="false">-Receivables!U20</f>
        <v>-308.310952451163</v>
      </c>
      <c r="V40" s="62" t="n">
        <f aca="false">-Receivables!V20</f>
        <v>1248.90571775177</v>
      </c>
      <c r="W40" s="62" t="n">
        <f aca="false">-Receivables!W20</f>
        <v>-774.249024246861</v>
      </c>
      <c r="X40" s="62" t="n">
        <f aca="false">-Receivables!X20</f>
        <v>-130.909237540434</v>
      </c>
      <c r="Y40" s="62" t="n">
        <f aca="false">-Receivables!Y20</f>
        <v>645.99454515911</v>
      </c>
      <c r="Z40" s="62" t="n">
        <f aca="false">-Receivables!Z20</f>
        <v>-500.767867025634</v>
      </c>
      <c r="AA40" s="62" t="n">
        <f aca="false">-Receivables!AA20</f>
        <v>307.777382339449</v>
      </c>
      <c r="AB40" s="62" t="n">
        <f aca="false">-Receivables!AB20</f>
        <v>-85.4121712377228</v>
      </c>
    </row>
    <row r="41" customFormat="false" ht="15" hidden="false" customHeight="false" outlineLevel="0" collapsed="false">
      <c r="A41" s="68" t="s">
        <v>379</v>
      </c>
      <c r="B41" s="69"/>
      <c r="C41" s="70" t="n">
        <f aca="false">SUM(E41:P41)</f>
        <v>-1913847.78772355</v>
      </c>
      <c r="D41" s="70" t="n">
        <f aca="false">SUM(Q41:AB41)</f>
        <v>-1853861.91971083</v>
      </c>
      <c r="E41" s="70" t="n">
        <f aca="false">SUM(E26:E40)</f>
        <v>-139419.993609656</v>
      </c>
      <c r="F41" s="70" t="n">
        <f aca="false">SUM(F26:F40)</f>
        <v>-166922.506657448</v>
      </c>
      <c r="G41" s="70" t="n">
        <f aca="false">SUM(G26:G40)</f>
        <v>-150396.288555572</v>
      </c>
      <c r="H41" s="70" t="n">
        <f aca="false">SUM(H26:H40)</f>
        <v>-144659.537374236</v>
      </c>
      <c r="I41" s="70" t="n">
        <f aca="false">SUM(I26:I40)</f>
        <v>-149246.226688016</v>
      </c>
      <c r="J41" s="70" t="n">
        <f aca="false">SUM(J26:J40)</f>
        <v>-144562.329162656</v>
      </c>
      <c r="K41" s="70" t="n">
        <f aca="false">SUM(K26:K40)</f>
        <v>-276143.985839752</v>
      </c>
      <c r="L41" s="70" t="n">
        <f aca="false">SUM(L26:L40)</f>
        <v>-138620.728331844</v>
      </c>
      <c r="M41" s="70" t="n">
        <f aca="false">SUM(M26:M40)</f>
        <v>-149729.60662137</v>
      </c>
      <c r="N41" s="70" t="n">
        <f aca="false">SUM(N26:N40)</f>
        <v>-164019.968702528</v>
      </c>
      <c r="O41" s="70" t="n">
        <f aca="false">SUM(O26:O40)</f>
        <v>-144867.800523424</v>
      </c>
      <c r="P41" s="70" t="n">
        <f aca="false">SUM(P26:P40)</f>
        <v>-145258.815657051</v>
      </c>
      <c r="Q41" s="70" t="n">
        <f aca="false">SUM(Q26:Q40)</f>
        <v>-181869.205188313</v>
      </c>
      <c r="R41" s="70" t="n">
        <f aca="false">SUM(R26:R40)</f>
        <v>-150094.665013391</v>
      </c>
      <c r="S41" s="70" t="n">
        <f aca="false">SUM(S26:S40)</f>
        <v>-149880.235255986</v>
      </c>
      <c r="T41" s="70" t="n">
        <f aca="false">SUM(T26:T40)</f>
        <v>-166751.481459587</v>
      </c>
      <c r="U41" s="70" t="n">
        <f aca="false">SUM(U26:U40)</f>
        <v>-150391.981100739</v>
      </c>
      <c r="V41" s="70" t="n">
        <f aca="false">SUM(V26:V40)</f>
        <v>-148834.764430536</v>
      </c>
      <c r="W41" s="70" t="n">
        <f aca="false">SUM(W26:W40)</f>
        <v>-150857.919172535</v>
      </c>
      <c r="X41" s="70" t="n">
        <f aca="false">SUM(X26:X40)</f>
        <v>-150214.579385828</v>
      </c>
      <c r="Y41" s="70" t="n">
        <f aca="false">SUM(Y26:Y40)</f>
        <v>-154437.675603129</v>
      </c>
      <c r="Z41" s="70" t="n">
        <f aca="false">SUM(Z26:Z40)</f>
        <v>-150584.438015314</v>
      </c>
      <c r="AA41" s="70" t="n">
        <f aca="false">SUM(AA26:AA40)</f>
        <v>-149775.892765949</v>
      </c>
      <c r="AB41" s="70" t="n">
        <f aca="false">SUM(AB26:AB40)</f>
        <v>-150169.082319526</v>
      </c>
    </row>
    <row r="42" customFormat="false" ht="15" hidden="false" customHeight="false" outlineLevel="0" collapsed="false">
      <c r="A42" s="68" t="s">
        <v>317</v>
      </c>
      <c r="B42" s="69"/>
      <c r="C42" s="70" t="n">
        <f aca="false">SUM(E42:P42)</f>
        <v>912882.484438358</v>
      </c>
      <c r="D42" s="70" t="n">
        <f aca="false">SUM(Q42:AB42)</f>
        <v>981860.366101296</v>
      </c>
      <c r="E42" s="70" t="n">
        <f aca="false">E23+E41</f>
        <v>-16379.8082763226</v>
      </c>
      <c r="F42" s="70" t="n">
        <f aca="false">F23+F41</f>
        <v>-19506.4113241147</v>
      </c>
      <c r="G42" s="70" t="n">
        <f aca="false">G23+G41</f>
        <v>123633.584277761</v>
      </c>
      <c r="H42" s="70" t="n">
        <f aca="false">H23+H41</f>
        <v>41466.283925764</v>
      </c>
      <c r="I42" s="70" t="n">
        <f aca="false">I23+I41</f>
        <v>28357.4721119841</v>
      </c>
      <c r="J42" s="70" t="n">
        <f aca="false">J23+J41</f>
        <v>160801.639637344</v>
      </c>
      <c r="K42" s="70" t="n">
        <f aca="false">K23+K41</f>
        <v>-51681.117039752</v>
      </c>
      <c r="L42" s="70" t="n">
        <f aca="false">L23+L41</f>
        <v>-14443.629531844</v>
      </c>
      <c r="M42" s="70" t="n">
        <f aca="false">M23+M41</f>
        <v>182927.640717865</v>
      </c>
      <c r="N42" s="70" t="n">
        <f aca="false">N23+N41</f>
        <v>119852.653109769</v>
      </c>
      <c r="O42" s="70" t="n">
        <f aca="false">O23+O41</f>
        <v>159639.297850249</v>
      </c>
      <c r="P42" s="70" t="n">
        <f aca="false">P23+P41</f>
        <v>198214.878979654</v>
      </c>
      <c r="Q42" s="70" t="n">
        <f aca="false">Q23+Q41</f>
        <v>69149.9343895115</v>
      </c>
      <c r="R42" s="70" t="n">
        <f aca="false">R23+R41</f>
        <v>125176.727468633</v>
      </c>
      <c r="S42" s="70" t="n">
        <f aca="false">S23+S41</f>
        <v>134104.247096173</v>
      </c>
      <c r="T42" s="70" t="n">
        <f aca="false">T23+T41</f>
        <v>109264.731065614</v>
      </c>
      <c r="U42" s="70" t="n">
        <f aca="false">U23+U41</f>
        <v>-41029.8767705465</v>
      </c>
      <c r="V42" s="70" t="n">
        <f aca="false">V23+V41</f>
        <v>127384.190985536</v>
      </c>
      <c r="W42" s="70" t="n">
        <f aca="false">W23+W41</f>
        <v>93180.4777872741</v>
      </c>
      <c r="X42" s="70" t="n">
        <f aca="false">X23+X41</f>
        <v>4129.53269922786</v>
      </c>
      <c r="Y42" s="70" t="n">
        <f aca="false">Y23+Y41</f>
        <v>111021.402236154</v>
      </c>
      <c r="Z42" s="70" t="n">
        <f aca="false">Z23+Z41</f>
        <v>49526.9542332506</v>
      </c>
      <c r="AA42" s="70" t="n">
        <f aca="false">AA23+AA41</f>
        <v>74206.8225210903</v>
      </c>
      <c r="AB42" s="70" t="n">
        <f aca="false">AB23+AB41</f>
        <v>125745.222389378</v>
      </c>
    </row>
    <row r="43" customFormat="false" ht="15" hidden="false" customHeight="false" outlineLevel="0" collapsed="false">
      <c r="A43" s="29" t="s">
        <v>315</v>
      </c>
      <c r="B43" s="60"/>
      <c r="C43" s="63" t="n">
        <f aca="false">IF(C14=0,0,C42/C14)</f>
        <v>0.119117818269476</v>
      </c>
      <c r="D43" s="63" t="n">
        <f aca="false">IF(D14=0,0,D42/D14)</f>
        <v>0.120637708541939</v>
      </c>
      <c r="E43" s="64" t="n">
        <f aca="false">IF(E14=0,0,E42/E14)</f>
        <v>-0.0341607112942361</v>
      </c>
      <c r="F43" s="64" t="n">
        <f aca="false">IF(F14=0,0,F42/F14)</f>
        <v>-0.0371309934526351</v>
      </c>
      <c r="G43" s="64" t="n">
        <f aca="false">IF(G14=0,0,G42/G14)</f>
        <v>0.187585433489754</v>
      </c>
      <c r="H43" s="64" t="n">
        <f aca="false">IF(H14=0,0,H42/H14)</f>
        <v>0.0729197473359556</v>
      </c>
      <c r="I43" s="64" t="n">
        <f aca="false">IF(I14=0,0,I42/I14)</f>
        <v>0.0481134456559799</v>
      </c>
      <c r="J43" s="64" t="n">
        <f aca="false">IF(J14=0,0,J42/J14)</f>
        <v>0.215983606631757</v>
      </c>
      <c r="K43" s="64" t="n">
        <f aca="false">IF(K14=0,0,K42/K14)</f>
        <v>-0.0824392984231592</v>
      </c>
      <c r="L43" s="64" t="n">
        <f aca="false">IF(L14=0,0,L42/L14)</f>
        <v>-0.0282708626601027</v>
      </c>
      <c r="M43" s="64" t="n">
        <f aca="false">IF(M14=0,0,M42/M14)</f>
        <v>0.234760317837479</v>
      </c>
      <c r="N43" s="64" t="n">
        <f aca="false">IF(N14=0,0,N42/N14)</f>
        <v>0.169398765127284</v>
      </c>
      <c r="O43" s="64" t="n">
        <f aca="false">IF(O14=0,0,O42/O14)</f>
        <v>0.225046548381498</v>
      </c>
      <c r="P43" s="64" t="n">
        <f aca="false">IF(P14=0,0,P42/P14)</f>
        <v>0.259668110498211</v>
      </c>
      <c r="Q43" s="64" t="n">
        <f aca="false">IF(Q14=0,0,Q42/Q14)</f>
        <v>0.0990276338472548</v>
      </c>
      <c r="R43" s="64" t="n">
        <f aca="false">IF(R14=0,0,R42/R14)</f>
        <v>0.172807705143853</v>
      </c>
      <c r="S43" s="64" t="n">
        <f aca="false">IF(S14=0,0,S42/S14)</f>
        <v>0.186770696487151</v>
      </c>
      <c r="T43" s="64" t="n">
        <f aca="false">IF(T14=0,0,T42/T14)</f>
        <v>0.152355276235876</v>
      </c>
      <c r="U43" s="64" t="n">
        <f aca="false">IF(U14=0,0,U42/U14)</f>
        <v>-0.0760667329065508</v>
      </c>
      <c r="V43" s="64" t="n">
        <f aca="false">IF(V14=0,0,V42/V14)</f>
        <v>0.177910386142235</v>
      </c>
      <c r="W43" s="64" t="n">
        <f aca="false">IF(W14=0,0,W42/W14)</f>
        <v>0.136872997442418</v>
      </c>
      <c r="X43" s="64" t="n">
        <f aca="false">IF(X14=0,0,X42/X14)</f>
        <v>0.00707498594048896</v>
      </c>
      <c r="Y43" s="64" t="n">
        <f aca="false">IF(Y14=0,0,Y42/Y14)</f>
        <v>0.154811282718005</v>
      </c>
      <c r="Z43" s="64" t="n">
        <f aca="false">IF(Z14=0,0,Z42/Z14)</f>
        <v>0.0766453743548589</v>
      </c>
      <c r="AA43" s="64" t="n">
        <f aca="false">IF(AA14=0,0,AA42/AA14)</f>
        <v>0.110515911121989</v>
      </c>
      <c r="AB43" s="64" t="n">
        <f aca="false">IF(AB14=0,0,AB42/AB14)</f>
        <v>0.173099314133696</v>
      </c>
    </row>
    <row r="44" customFormat="false" ht="15" hidden="false" customHeight="false" outlineLevel="0" collapsed="false">
      <c r="A44" s="23" t="s">
        <v>380</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row>
    <row r="45" customFormat="false" ht="15" hidden="false" customHeight="false" outlineLevel="0" collapsed="false">
      <c r="A45" s="29" t="s">
        <v>381</v>
      </c>
      <c r="B45" s="60" t="s">
        <v>76</v>
      </c>
      <c r="C45" s="61" t="n">
        <f aca="false">SUM(E45:P45)</f>
        <v>-114080.555555556</v>
      </c>
      <c r="D45" s="61" t="n">
        <f aca="false">SUM(Q45:AB45)</f>
        <v>-128659</v>
      </c>
      <c r="E45" s="62" t="n">
        <f aca="false">-Fixed_Assets!E26</f>
        <v>-8986.11111111111</v>
      </c>
      <c r="F45" s="62" t="n">
        <f aca="false">-Fixed_Assets!F26</f>
        <v>-9036.11111111111</v>
      </c>
      <c r="G45" s="62" t="n">
        <f aca="false">-Fixed_Assets!G26</f>
        <v>-9180.55555555556</v>
      </c>
      <c r="H45" s="62" t="n">
        <f aca="false">-Fixed_Assets!H26</f>
        <v>-9247.22222222222</v>
      </c>
      <c r="I45" s="62" t="n">
        <f aca="false">-Fixed_Assets!I26</f>
        <v>-9361.11111111111</v>
      </c>
      <c r="J45" s="62" t="n">
        <f aca="false">-Fixed_Assets!J26</f>
        <v>-9422.22222222222</v>
      </c>
      <c r="K45" s="62" t="n">
        <f aca="false">-Fixed_Assets!K26</f>
        <v>-9530.55555555556</v>
      </c>
      <c r="L45" s="62" t="n">
        <f aca="false">-Fixed_Assets!L26</f>
        <v>-9572.22222222222</v>
      </c>
      <c r="M45" s="62" t="n">
        <f aca="false">-Fixed_Assets!M26</f>
        <v>-9777.77777777778</v>
      </c>
      <c r="N45" s="62" t="n">
        <f aca="false">-Fixed_Assets!N26</f>
        <v>-9916.66666666667</v>
      </c>
      <c r="O45" s="62" t="n">
        <f aca="false">-Fixed_Assets!O26</f>
        <v>-9988.88888888889</v>
      </c>
      <c r="P45" s="62" t="n">
        <f aca="false">-Fixed_Assets!P26</f>
        <v>-10061.1111111111</v>
      </c>
      <c r="Q45" s="62" t="n">
        <f aca="false">-Fixed_Assets!Q26</f>
        <v>-10235.5</v>
      </c>
      <c r="R45" s="62" t="n">
        <f aca="false">-Fixed_Assets!R26</f>
        <v>-10309.8888888889</v>
      </c>
      <c r="S45" s="62" t="n">
        <f aca="false">-Fixed_Assets!S26</f>
        <v>-10384.2777777778</v>
      </c>
      <c r="T45" s="62" t="n">
        <f aca="false">-Fixed_Assets!T26</f>
        <v>-10502</v>
      </c>
      <c r="U45" s="62" t="n">
        <f aca="false">-Fixed_Assets!U26</f>
        <v>-10576.3888888889</v>
      </c>
      <c r="V45" s="62" t="n">
        <f aca="false">-Fixed_Assets!V26</f>
        <v>-10650.7777777778</v>
      </c>
      <c r="W45" s="62" t="n">
        <f aca="false">-Fixed_Assets!W26</f>
        <v>-10725.1666666667</v>
      </c>
      <c r="X45" s="62" t="n">
        <f aca="false">-Fixed_Assets!X26</f>
        <v>-10799.5555555556</v>
      </c>
      <c r="Y45" s="62" t="n">
        <f aca="false">-Fixed_Assets!Y26</f>
        <v>-11007.2777777778</v>
      </c>
      <c r="Z45" s="62" t="n">
        <f aca="false">-Fixed_Assets!Z26</f>
        <v>-11081.6666666667</v>
      </c>
      <c r="AA45" s="62" t="n">
        <f aca="false">-Fixed_Assets!AA26</f>
        <v>-11156.0555555556</v>
      </c>
      <c r="AB45" s="62" t="n">
        <f aca="false">-Fixed_Assets!AB26</f>
        <v>-11230.4444444444</v>
      </c>
    </row>
    <row r="46" customFormat="false" ht="15" hidden="false" customHeight="false" outlineLevel="0" collapsed="false">
      <c r="A46" s="68" t="s">
        <v>382</v>
      </c>
      <c r="B46" s="69"/>
      <c r="C46" s="70" t="n">
        <f aca="false">SUM(E46:P46)</f>
        <v>798801.928882803</v>
      </c>
      <c r="D46" s="70" t="n">
        <f aca="false">SUM(Q46:AB46)</f>
        <v>853201.366101296</v>
      </c>
      <c r="E46" s="70" t="n">
        <f aca="false">E42+E45</f>
        <v>-25365.9193874337</v>
      </c>
      <c r="F46" s="70" t="n">
        <f aca="false">F42+F45</f>
        <v>-28542.5224352258</v>
      </c>
      <c r="G46" s="70" t="n">
        <f aca="false">G42+G45</f>
        <v>114453.028722206</v>
      </c>
      <c r="H46" s="70" t="n">
        <f aca="false">H42+H45</f>
        <v>32219.0617035418</v>
      </c>
      <c r="I46" s="70" t="n">
        <f aca="false">I42+I45</f>
        <v>18996.361000873</v>
      </c>
      <c r="J46" s="70" t="n">
        <f aca="false">J42+J45</f>
        <v>151379.417415122</v>
      </c>
      <c r="K46" s="70" t="n">
        <f aca="false">K42+K45</f>
        <v>-61211.6725953076</v>
      </c>
      <c r="L46" s="70" t="n">
        <f aca="false">L42+L45</f>
        <v>-24015.8517540662</v>
      </c>
      <c r="M46" s="70" t="n">
        <f aca="false">M42+M45</f>
        <v>173149.862940087</v>
      </c>
      <c r="N46" s="70" t="n">
        <f aca="false">N42+N45</f>
        <v>109935.986443103</v>
      </c>
      <c r="O46" s="70" t="n">
        <f aca="false">O42+O45</f>
        <v>149650.408961361</v>
      </c>
      <c r="P46" s="70" t="n">
        <f aca="false">P42+P45</f>
        <v>188153.767868543</v>
      </c>
      <c r="Q46" s="70" t="n">
        <f aca="false">Q42+Q45</f>
        <v>58914.4343895115</v>
      </c>
      <c r="R46" s="70" t="n">
        <f aca="false">R42+R45</f>
        <v>114866.838579744</v>
      </c>
      <c r="S46" s="70" t="n">
        <f aca="false">S42+S45</f>
        <v>123719.969318395</v>
      </c>
      <c r="T46" s="70" t="n">
        <f aca="false">T42+T45</f>
        <v>98762.7310656137</v>
      </c>
      <c r="U46" s="70" t="n">
        <f aca="false">U42+U45</f>
        <v>-51606.2656594354</v>
      </c>
      <c r="V46" s="70" t="n">
        <f aca="false">V42+V45</f>
        <v>116733.413207758</v>
      </c>
      <c r="W46" s="70" t="n">
        <f aca="false">W42+W45</f>
        <v>82455.3111206075</v>
      </c>
      <c r="X46" s="70" t="n">
        <f aca="false">X42+X45</f>
        <v>-6670.0228563277</v>
      </c>
      <c r="Y46" s="70" t="n">
        <f aca="false">Y42+Y45</f>
        <v>100014.124458376</v>
      </c>
      <c r="Z46" s="70" t="n">
        <f aca="false">Z42+Z45</f>
        <v>38445.2875665839</v>
      </c>
      <c r="AA46" s="70" t="n">
        <f aca="false">AA42+AA45</f>
        <v>63050.7669655347</v>
      </c>
      <c r="AB46" s="70" t="n">
        <f aca="false">AB42+AB45</f>
        <v>114514.777944934</v>
      </c>
    </row>
    <row r="47" customFormat="false" ht="15" hidden="false" customHeight="false" outlineLevel="0" collapsed="false">
      <c r="A47" s="29" t="s">
        <v>383</v>
      </c>
      <c r="B47" s="60" t="s">
        <v>78</v>
      </c>
      <c r="C47" s="61" t="n">
        <f aca="false">SUM(E47:P47)</f>
        <v>-6037.437</v>
      </c>
      <c r="D47" s="61" t="n">
        <f aca="false">SUM(Q47:AB47)</f>
        <v>-3937.269</v>
      </c>
      <c r="E47" s="62" t="n">
        <f aca="false">-(Financing!E12+Financing!E13)</f>
        <v>-583.3345</v>
      </c>
      <c r="F47" s="62" t="n">
        <f aca="false">-(Financing!F12+Financing!F13)</f>
        <v>-568.75</v>
      </c>
      <c r="G47" s="62" t="n">
        <f aca="false">-(Financing!G12+Financing!G13)</f>
        <v>-554.1655</v>
      </c>
      <c r="H47" s="62" t="n">
        <f aca="false">-(Financing!H12+Financing!H13)</f>
        <v>-539.581</v>
      </c>
      <c r="I47" s="62" t="n">
        <f aca="false">-(Financing!I12+Financing!I13)</f>
        <v>-524.9965</v>
      </c>
      <c r="J47" s="62" t="n">
        <f aca="false">-(Financing!J12+Financing!J13)</f>
        <v>-510.412</v>
      </c>
      <c r="K47" s="62" t="n">
        <f aca="false">-(Financing!K12+Financing!K13)</f>
        <v>-495.8275</v>
      </c>
      <c r="L47" s="62" t="n">
        <f aca="false">-(Financing!L12+Financing!L13)</f>
        <v>-481.243</v>
      </c>
      <c r="M47" s="62" t="n">
        <f aca="false">-(Financing!M12+Financing!M13)</f>
        <v>-466.6585</v>
      </c>
      <c r="N47" s="62" t="n">
        <f aca="false">-(Financing!N12+Financing!N13)</f>
        <v>-452.074</v>
      </c>
      <c r="O47" s="62" t="n">
        <f aca="false">-(Financing!O12+Financing!O13)</f>
        <v>-437.4895</v>
      </c>
      <c r="P47" s="62" t="n">
        <f aca="false">-(Financing!P12+Financing!P13)</f>
        <v>-422.905</v>
      </c>
      <c r="Q47" s="62" t="n">
        <f aca="false">-(Financing!Q12+Financing!Q13)</f>
        <v>-408.3205</v>
      </c>
      <c r="R47" s="62" t="n">
        <f aca="false">-(Financing!R12+Financing!R13)</f>
        <v>-393.736</v>
      </c>
      <c r="S47" s="62" t="n">
        <f aca="false">-(Financing!S12+Financing!S13)</f>
        <v>-379.1515</v>
      </c>
      <c r="T47" s="62" t="n">
        <f aca="false">-(Financing!T12+Financing!T13)</f>
        <v>-364.567</v>
      </c>
      <c r="U47" s="62" t="n">
        <f aca="false">-(Financing!U12+Financing!U13)</f>
        <v>-349.9825</v>
      </c>
      <c r="V47" s="62" t="n">
        <f aca="false">-(Financing!V12+Financing!V13)</f>
        <v>-335.398</v>
      </c>
      <c r="W47" s="62" t="n">
        <f aca="false">-(Financing!W12+Financing!W13)</f>
        <v>-320.8135</v>
      </c>
      <c r="X47" s="62" t="n">
        <f aca="false">-(Financing!X12+Financing!X13)</f>
        <v>-306.229</v>
      </c>
      <c r="Y47" s="62" t="n">
        <f aca="false">-(Financing!Y12+Financing!Y13)</f>
        <v>-291.6445</v>
      </c>
      <c r="Z47" s="62" t="n">
        <f aca="false">-(Financing!Z12+Financing!Z13)</f>
        <v>-277.06</v>
      </c>
      <c r="AA47" s="62" t="n">
        <f aca="false">-(Financing!AA12+Financing!AA13)</f>
        <v>-262.4755</v>
      </c>
      <c r="AB47" s="62" t="n">
        <f aca="false">-(Financing!AB12+Financing!AB13)</f>
        <v>-247.891</v>
      </c>
    </row>
    <row r="48" customFormat="false" ht="15" hidden="false" customHeight="false" outlineLevel="0" collapsed="false">
      <c r="A48" s="68" t="s">
        <v>384</v>
      </c>
      <c r="B48" s="69"/>
      <c r="C48" s="70" t="n">
        <f aca="false">SUM(E48:P48)</f>
        <v>792764.491882803</v>
      </c>
      <c r="D48" s="70" t="n">
        <f aca="false">SUM(Q48:AB48)</f>
        <v>849264.097101296</v>
      </c>
      <c r="E48" s="70" t="n">
        <f aca="false">E46+E47</f>
        <v>-25949.2538874337</v>
      </c>
      <c r="F48" s="70" t="n">
        <f aca="false">F46+F47</f>
        <v>-29111.2724352258</v>
      </c>
      <c r="G48" s="70" t="n">
        <f aca="false">G46+G47</f>
        <v>113898.863222206</v>
      </c>
      <c r="H48" s="70" t="n">
        <f aca="false">H46+H47</f>
        <v>31679.4807035418</v>
      </c>
      <c r="I48" s="70" t="n">
        <f aca="false">I46+I47</f>
        <v>18471.364500873</v>
      </c>
      <c r="J48" s="70" t="n">
        <f aca="false">J46+J47</f>
        <v>150869.005415122</v>
      </c>
      <c r="K48" s="70" t="n">
        <f aca="false">K46+K47</f>
        <v>-61707.5000953076</v>
      </c>
      <c r="L48" s="70" t="n">
        <f aca="false">L46+L47</f>
        <v>-24497.0947540662</v>
      </c>
      <c r="M48" s="70" t="n">
        <f aca="false">M46+M47</f>
        <v>172683.204440087</v>
      </c>
      <c r="N48" s="70" t="n">
        <f aca="false">N46+N47</f>
        <v>109483.912443103</v>
      </c>
      <c r="O48" s="70" t="n">
        <f aca="false">O46+O47</f>
        <v>149212.919461361</v>
      </c>
      <c r="P48" s="70" t="n">
        <f aca="false">P46+P47</f>
        <v>187730.862868543</v>
      </c>
      <c r="Q48" s="70" t="n">
        <f aca="false">Q46+Q47</f>
        <v>58506.1138895115</v>
      </c>
      <c r="R48" s="70" t="n">
        <f aca="false">R46+R47</f>
        <v>114473.102579744</v>
      </c>
      <c r="S48" s="70" t="n">
        <f aca="false">S46+S47</f>
        <v>123340.817818395</v>
      </c>
      <c r="T48" s="70" t="n">
        <f aca="false">T46+T47</f>
        <v>98398.1640656138</v>
      </c>
      <c r="U48" s="70" t="n">
        <f aca="false">U46+U47</f>
        <v>-51956.2481594353</v>
      </c>
      <c r="V48" s="70" t="n">
        <f aca="false">V46+V47</f>
        <v>116398.015207758</v>
      </c>
      <c r="W48" s="70" t="n">
        <f aca="false">W46+W47</f>
        <v>82134.4976206075</v>
      </c>
      <c r="X48" s="70" t="n">
        <f aca="false">X46+X47</f>
        <v>-6976.2518563277</v>
      </c>
      <c r="Y48" s="70" t="n">
        <f aca="false">Y46+Y47</f>
        <v>99722.4799583762</v>
      </c>
      <c r="Z48" s="70" t="n">
        <f aca="false">Z46+Z47</f>
        <v>38168.2275665839</v>
      </c>
      <c r="AA48" s="70" t="n">
        <f aca="false">AA46+AA47</f>
        <v>62788.2914655347</v>
      </c>
      <c r="AB48" s="70" t="n">
        <f aca="false">AB46+AB47</f>
        <v>114266.886944934</v>
      </c>
    </row>
    <row r="49" customFormat="false" ht="15" hidden="false" customHeight="false" outlineLevel="0" collapsed="false">
      <c r="A49" s="29" t="s">
        <v>385</v>
      </c>
      <c r="B49" s="60" t="s">
        <v>72</v>
      </c>
      <c r="C49" s="61" t="n">
        <f aca="false">SUM(E49:P49)</f>
        <v>-126645.179090454</v>
      </c>
      <c r="D49" s="61" t="n">
        <f aca="false">SUM(Q49:AB49)</f>
        <v>-135804.34176628</v>
      </c>
      <c r="E49" s="62" t="n">
        <f aca="false">-Tax!E16</f>
        <v>-0</v>
      </c>
      <c r="F49" s="62" t="n">
        <f aca="false">-Tax!F16</f>
        <v>-0</v>
      </c>
      <c r="G49" s="62" t="n">
        <f aca="false">-Tax!G16</f>
        <v>-9599.67238935322</v>
      </c>
      <c r="H49" s="62" t="n">
        <f aca="false">-Tax!H16</f>
        <v>-5113.02279633549</v>
      </c>
      <c r="I49" s="62" t="n">
        <f aca="false">-Tax!I16</f>
        <v>-3039.88193226315</v>
      </c>
      <c r="J49" s="62" t="n">
        <f aca="false">-Tax!J16</f>
        <v>-23985.162106943</v>
      </c>
      <c r="K49" s="62" t="n">
        <f aca="false">-Tax!K16</f>
        <v>9692.95494008242</v>
      </c>
      <c r="L49" s="62" t="n">
        <f aca="false">-Tax!L16</f>
        <v>3829.66499483098</v>
      </c>
      <c r="M49" s="62" t="n">
        <f aca="false">-Tax!M16</f>
        <v>-27441.0571026438</v>
      </c>
      <c r="N49" s="62" t="n">
        <f aca="false">-Tax!N16</f>
        <v>-17439.769144121</v>
      </c>
      <c r="O49" s="62" t="n">
        <f aca="false">-Tax!O16</f>
        <v>-23726.8845047603</v>
      </c>
      <c r="P49" s="62" t="n">
        <f aca="false">-Tax!P16</f>
        <v>-29822.349048947</v>
      </c>
      <c r="Q49" s="62" t="n">
        <f aca="false">-Tax!Q16</f>
        <v>-9375.95072301519</v>
      </c>
      <c r="R49" s="62" t="n">
        <f aca="false">-Tax!R16</f>
        <v>-18232.7266832445</v>
      </c>
      <c r="S49" s="62" t="n">
        <f aca="false">-Tax!S16</f>
        <v>-19636.0426197611</v>
      </c>
      <c r="T49" s="62" t="n">
        <f aca="false">-Tax!T16</f>
        <v>-15688.8676633834</v>
      </c>
      <c r="U49" s="62" t="n">
        <f aca="false">-Tax!U16</f>
        <v>8104.71807123064</v>
      </c>
      <c r="V49" s="62" t="n">
        <f aca="false">-Tax!V16</f>
        <v>-18537.3441066277</v>
      </c>
      <c r="W49" s="62" t="n">
        <f aca="false">-Tax!W16</f>
        <v>-13115.1424484611</v>
      </c>
      <c r="X49" s="62" t="n">
        <f aca="false">-Tax!X16</f>
        <v>986.633656263861</v>
      </c>
      <c r="Y49" s="62" t="n">
        <f aca="false">-Tax!Y16</f>
        <v>-15898.440653413</v>
      </c>
      <c r="Z49" s="62" t="n">
        <f aca="false">-Tax!Z16</f>
        <v>-6157.48021241189</v>
      </c>
      <c r="AA49" s="62" t="n">
        <f aca="false">-Tax!AA16</f>
        <v>-10053.6053244209</v>
      </c>
      <c r="AB49" s="62" t="n">
        <f aca="false">-Tax!AB16</f>
        <v>-18200.0930590358</v>
      </c>
    </row>
    <row r="50" customFormat="false" ht="15" hidden="false" customHeight="false" outlineLevel="0" collapsed="false">
      <c r="A50" s="29" t="s">
        <v>386</v>
      </c>
      <c r="B50" s="60" t="s">
        <v>72</v>
      </c>
      <c r="C50" s="61" t="n">
        <f aca="false">SUM(E50:P50)</f>
        <v>-137248.961857901</v>
      </c>
      <c r="D50" s="61" t="n">
        <f aca="false">SUM(Q50:AB50)</f>
        <v>-147175.005452872</v>
      </c>
      <c r="E50" s="62" t="n">
        <f aca="false">-Tax!E22</f>
        <v>-0</v>
      </c>
      <c r="F50" s="62" t="n">
        <f aca="false">-Tax!F22</f>
        <v>-0</v>
      </c>
      <c r="G50" s="62" t="n">
        <f aca="false">-Tax!G22</f>
        <v>-10403.4364282722</v>
      </c>
      <c r="H50" s="62" t="n">
        <f aca="false">-Tax!H22</f>
        <v>-5541.12739065742</v>
      </c>
      <c r="I50" s="62" t="n">
        <f aca="false">-Tax!I22</f>
        <v>-3294.40601189972</v>
      </c>
      <c r="J50" s="62" t="n">
        <f aca="false">-Tax!J22</f>
        <v>-25993.3984286934</v>
      </c>
      <c r="K50" s="62" t="n">
        <f aca="false">-Tax!K22</f>
        <v>10504.5293663452</v>
      </c>
      <c r="L50" s="62" t="n">
        <f aca="false">-Tax!L22</f>
        <v>4150.31625032236</v>
      </c>
      <c r="M50" s="62" t="n">
        <f aca="false">-Tax!M22</f>
        <v>-29738.649561475</v>
      </c>
      <c r="N50" s="62" t="n">
        <f aca="false">-Tax!N22</f>
        <v>-18899.9709839921</v>
      </c>
      <c r="O50" s="62" t="n">
        <f aca="false">-Tax!O22</f>
        <v>-25713.4956876233</v>
      </c>
      <c r="P50" s="62" t="n">
        <f aca="false">-Tax!P22</f>
        <v>-32319.3229819552</v>
      </c>
      <c r="Q50" s="62" t="n">
        <f aca="false">-Tax!Q22</f>
        <v>-10160.9829320512</v>
      </c>
      <c r="R50" s="62" t="n">
        <f aca="false">-Tax!R22</f>
        <v>-19759.3214924262</v>
      </c>
      <c r="S50" s="62" t="n">
        <f aca="false">-Tax!S22</f>
        <v>-21280.1346558548</v>
      </c>
      <c r="T50" s="62" t="n">
        <f aca="false">-Tax!T22</f>
        <v>-17002.4695372528</v>
      </c>
      <c r="U50" s="62" t="n">
        <f aca="false">-Tax!U22</f>
        <v>8783.31215934317</v>
      </c>
      <c r="V50" s="62" t="n">
        <f aca="false">-Tax!V22</f>
        <v>-20089.4440081306</v>
      </c>
      <c r="W50" s="62" t="n">
        <f aca="false">-Tax!W22</f>
        <v>-14213.2507419342</v>
      </c>
      <c r="X50" s="62" t="n">
        <f aca="false">-Tax!X22</f>
        <v>1069.2427933602</v>
      </c>
      <c r="Y50" s="62" t="n">
        <f aca="false">-Tax!Y22</f>
        <v>-17229.5897128615</v>
      </c>
      <c r="Z50" s="62" t="n">
        <f aca="false">-Tax!Z22</f>
        <v>-6673.03542766912</v>
      </c>
      <c r="AA50" s="62" t="n">
        <f aca="false">-Tax!AA22</f>
        <v>-10895.3763863392</v>
      </c>
      <c r="AB50" s="62" t="n">
        <f aca="false">-Tax!AB22</f>
        <v>-19723.9555110561</v>
      </c>
    </row>
    <row r="51" customFormat="false" ht="15" hidden="false" customHeight="false" outlineLevel="0" collapsed="false">
      <c r="A51" s="68" t="s">
        <v>387</v>
      </c>
      <c r="B51" s="69"/>
      <c r="C51" s="70" t="n">
        <f aca="false">SUM(E51:P51)</f>
        <v>528870.350934448</v>
      </c>
      <c r="D51" s="70" t="n">
        <f aca="false">SUM(Q51:AB51)</f>
        <v>566284.749882144</v>
      </c>
      <c r="E51" s="70" t="n">
        <f aca="false">E48+E49+E50</f>
        <v>-25949.2538874337</v>
      </c>
      <c r="F51" s="70" t="n">
        <f aca="false">F48+F49+F50</f>
        <v>-29111.2724352258</v>
      </c>
      <c r="G51" s="70" t="n">
        <f aca="false">G48+G49+G50</f>
        <v>93895.7544045805</v>
      </c>
      <c r="H51" s="70" t="n">
        <f aca="false">H48+H49+H50</f>
        <v>21025.3305165489</v>
      </c>
      <c r="I51" s="70" t="n">
        <f aca="false">I48+I49+I50</f>
        <v>12137.0765567101</v>
      </c>
      <c r="J51" s="70" t="n">
        <f aca="false">J48+J49+J50</f>
        <v>100890.444879485</v>
      </c>
      <c r="K51" s="70" t="n">
        <f aca="false">K48+K49+K50</f>
        <v>-41510.0157888799</v>
      </c>
      <c r="L51" s="70" t="n">
        <f aca="false">L48+L49+L50</f>
        <v>-16517.1135089129</v>
      </c>
      <c r="M51" s="70" t="n">
        <f aca="false">M48+M49+M50</f>
        <v>115503.497775969</v>
      </c>
      <c r="N51" s="70" t="n">
        <f aca="false">N48+N49+N50</f>
        <v>73144.1723149895</v>
      </c>
      <c r="O51" s="70" t="n">
        <f aca="false">O48+O49+O50</f>
        <v>99772.5392689769</v>
      </c>
      <c r="P51" s="70" t="n">
        <f aca="false">P48+P49+P50</f>
        <v>125589.190837641</v>
      </c>
      <c r="Q51" s="70" t="n">
        <f aca="false">Q48+Q49+Q50</f>
        <v>38969.1802344451</v>
      </c>
      <c r="R51" s="70" t="n">
        <f aca="false">R48+R49+R50</f>
        <v>76481.0544040737</v>
      </c>
      <c r="S51" s="70" t="n">
        <f aca="false">S48+S49+S50</f>
        <v>82424.6405427795</v>
      </c>
      <c r="T51" s="70" t="n">
        <f aca="false">T48+T49+T50</f>
        <v>65706.8268649776</v>
      </c>
      <c r="U51" s="70" t="n">
        <f aca="false">U48+U49+U50</f>
        <v>-35068.2179288615</v>
      </c>
      <c r="V51" s="70" t="n">
        <f aca="false">V48+V49+V50</f>
        <v>77771.227093</v>
      </c>
      <c r="W51" s="70" t="n">
        <f aca="false">W48+W49+W50</f>
        <v>54806.1044302121</v>
      </c>
      <c r="X51" s="70" t="n">
        <f aca="false">X48+X49+X50</f>
        <v>-4920.37540670364</v>
      </c>
      <c r="Y51" s="70" t="n">
        <f aca="false">Y48+Y49+Y50</f>
        <v>66594.4495921016</v>
      </c>
      <c r="Z51" s="70" t="n">
        <f aca="false">Z48+Z49+Z50</f>
        <v>25337.7119265029</v>
      </c>
      <c r="AA51" s="70" t="n">
        <f aca="false">AA48+AA49+AA50</f>
        <v>41839.3097547746</v>
      </c>
      <c r="AB51" s="70" t="n">
        <f aca="false">AB48+AB49+AB50</f>
        <v>76342.8383748418</v>
      </c>
    </row>
    <row r="52" customFormat="false" ht="15" hidden="false" customHeight="false" outlineLevel="0" collapsed="false">
      <c r="A52" s="29" t="s">
        <v>388</v>
      </c>
      <c r="B52" s="60"/>
      <c r="C52" s="63" t="n">
        <f aca="false">IF(C14=0,0,C51/C14)</f>
        <v>0.0690098489396284</v>
      </c>
      <c r="D52" s="63" t="n">
        <f aca="false">IF(D14=0,0,D51/D14)</f>
        <v>0.0695774032302462</v>
      </c>
      <c r="E52" s="64" t="n">
        <f aca="false">IF(E14=0,0,E51/E14)</f>
        <v>-0.0541181529963835</v>
      </c>
      <c r="F52" s="64" t="n">
        <f aca="false">IF(F14=0,0,F51/F14)</f>
        <v>-0.0554141122233977</v>
      </c>
      <c r="G52" s="64" t="n">
        <f aca="false">IF(G14=0,0,G51/G14)</f>
        <v>0.142465139191139</v>
      </c>
      <c r="H52" s="64" t="n">
        <f aca="false">IF(H14=0,0,H51/H14)</f>
        <v>0.0369736963087042</v>
      </c>
      <c r="I52" s="64" t="n">
        <f aca="false">IF(I14=0,0,I51/I14)</f>
        <v>0.0205926879175861</v>
      </c>
      <c r="J52" s="64" t="n">
        <f aca="false">IF(J14=0,0,J51/J14)</f>
        <v>0.135512810745576</v>
      </c>
      <c r="K52" s="64" t="n">
        <f aca="false">IF(K14=0,0,K51/K14)</f>
        <v>-0.0662148338732181</v>
      </c>
      <c r="L52" s="64" t="n">
        <f aca="false">IF(L14=0,0,L51/L14)</f>
        <v>-0.0323293426020314</v>
      </c>
      <c r="M52" s="64" t="n">
        <f aca="false">IF(M14=0,0,M51/M14)</f>
        <v>0.148231496032074</v>
      </c>
      <c r="N52" s="64" t="n">
        <f aca="false">IF(N14=0,0,N51/N14)</f>
        <v>0.103381378258422</v>
      </c>
      <c r="O52" s="64" t="n">
        <f aca="false">IF(O14=0,0,O51/O14)</f>
        <v>0.140651242445349</v>
      </c>
      <c r="P52" s="64" t="n">
        <f aca="false">IF(P14=0,0,P51/P14)</f>
        <v>0.164526033825931</v>
      </c>
      <c r="Q52" s="64" t="n">
        <f aca="false">IF(Q14=0,0,Q51/Q14)</f>
        <v>0.0558066431393409</v>
      </c>
      <c r="R52" s="64" t="n">
        <f aca="false">IF(R14=0,0,R51/R14)</f>
        <v>0.105582848871504</v>
      </c>
      <c r="S52" s="64" t="n">
        <f aca="false">IF(S14=0,0,S51/S14)</f>
        <v>0.114795078121857</v>
      </c>
      <c r="T52" s="64" t="n">
        <f aca="false">IF(T14=0,0,T51/T14)</f>
        <v>0.0916195158306391</v>
      </c>
      <c r="U52" s="64" t="n">
        <f aca="false">IF(U14=0,0,U51/U14)</f>
        <v>-0.0650142037135809</v>
      </c>
      <c r="V52" s="64" t="n">
        <f aca="false">IF(V14=0,0,V51/V14)</f>
        <v>0.108618729968165</v>
      </c>
      <c r="W52" s="64" t="n">
        <f aca="false">IF(W14=0,0,W51/W14)</f>
        <v>0.0805048006797175</v>
      </c>
      <c r="X52" s="64" t="n">
        <f aca="false">IF(X14=0,0,X51/X14)</f>
        <v>-0.008429909473986</v>
      </c>
      <c r="Y52" s="64" t="n">
        <f aca="false">IF(Y14=0,0,Y51/Y14)</f>
        <v>0.0928611236716615</v>
      </c>
      <c r="Z52" s="64" t="n">
        <f aca="false">IF(Z14=0,0,Z51/Z14)</f>
        <v>0.0392113435192546</v>
      </c>
      <c r="AA52" s="64" t="n">
        <f aca="false">IF(AA14=0,0,AA51/AA14)</f>
        <v>0.0623111094259543</v>
      </c>
      <c r="AB52" s="64" t="n">
        <f aca="false">IF(AB14=0,0,AB51/AB14)</f>
        <v>0.105092604797214</v>
      </c>
    </row>
    <row r="53" customFormat="false" ht="15" hidden="false" customHeight="false" outlineLevel="0" collapsed="false">
      <c r="A53" s="23" t="s">
        <v>389</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row>
    <row r="54" customFormat="false" ht="15" hidden="false" customHeight="false" outlineLevel="0" collapsed="false">
      <c r="A54" s="29" t="s">
        <v>390</v>
      </c>
      <c r="B54" s="60"/>
      <c r="C54" s="63" t="n">
        <f aca="false">IF(C14=0,0,-(C17+C18+C19+C20+C26+C27)/C14)</f>
        <v>0.671469193088841</v>
      </c>
      <c r="D54" s="63" t="n">
        <f aca="false">IF(D14=0,0,-(D17+D18+D19+D20+D26+D27)/D14)</f>
        <v>0.693576212899141</v>
      </c>
      <c r="E54" s="64" t="n">
        <f aca="false">IF(E14=0,0,-(E17+E18+E19+E20+E26+E27)/E14)</f>
        <v>0.825179422239932</v>
      </c>
      <c r="F54" s="64" t="n">
        <f aca="false">IF(F14=0,0,-(F17+F18+F19+F20+F26+F27)/F14)</f>
        <v>0.779982061431586</v>
      </c>
      <c r="G54" s="64" t="n">
        <f aca="false">IF(G14=0,0,-(G17+G18+G19+G20+G26+G27)/G14)</f>
        <v>0.622148080894512</v>
      </c>
      <c r="H54" s="64" t="n">
        <f aca="false">IF(H14=0,0,-(H17+H18+H19+H20+H26+H27)/H14)</f>
        <v>0.729842622281278</v>
      </c>
      <c r="I54" s="64" t="n">
        <f aca="false">IF(I14=0,0,-(I17+I18+I19+I20+I26+I27)/I14)</f>
        <v>0.74949216153452</v>
      </c>
      <c r="J54" s="64" t="n">
        <f aca="false">IF(J14=0,0,-(J17+J18+J19+J20+J26+J27)/J14)</f>
        <v>0.609119965090872</v>
      </c>
      <c r="K54" s="64" t="n">
        <f aca="false">IF(K14=0,0,-(K17+K18+K19+K20+K26+K27)/K14)</f>
        <v>0.678361778114626</v>
      </c>
      <c r="L54" s="64" t="n">
        <f aca="false">IF(L14=0,0,-(L17+L18+L19+L20+L26+L27)/L14)</f>
        <v>0.819688123211165</v>
      </c>
      <c r="M54" s="64" t="n">
        <f aca="false">IF(M14=0,0,-(M17+M18+M19+M20+M26+M27)/M14)</f>
        <v>0.590897607757309</v>
      </c>
      <c r="N54" s="64" t="n">
        <f aca="false">IF(N14=0,0,-(N17+N18+N19+N20+N26+N27)/N14)</f>
        <v>0.629056667230551</v>
      </c>
      <c r="O54" s="64" t="n">
        <f aca="false">IF(O14=0,0,-(O17+O18+O19+O20+O26+O27)/O14)</f>
        <v>0.605693528298908</v>
      </c>
      <c r="P54" s="64" t="n">
        <f aca="false">IF(P14=0,0,-(P17+P18+P19+P20+P26+P27)/P14)</f>
        <v>0.5777218952132</v>
      </c>
      <c r="Q54" s="64" t="n">
        <f aca="false">IF(Q14=0,0,-(Q17+Q18+Q19+Q20+Q26+Q27)/Q14)</f>
        <v>0.677298389405592</v>
      </c>
      <c r="R54" s="64" t="n">
        <f aca="false">IF(R14=0,0,-(R17+R18+R19+R20+R26+R27)/R14)</f>
        <v>0.652857305432604</v>
      </c>
      <c r="S54" s="64" t="n">
        <f aca="false">IF(S14=0,0,-(S17+S18+S19+S20+S26+S27)/S14)</f>
        <v>0.637249509929393</v>
      </c>
      <c r="T54" s="64" t="n">
        <f aca="false">IF(T14=0,0,-(T17+T18+T19+T20+T26+T27)/T14)</f>
        <v>0.648915059615505</v>
      </c>
      <c r="U54" s="64" t="n">
        <f aca="false">IF(U14=0,0,-(U17+U18+U19+U20+U26+U27)/U14)</f>
        <v>0.862674919528735</v>
      </c>
      <c r="V54" s="64" t="n">
        <f aca="false">IF(V14=0,0,-(V17+V18+V19+V20+V26+V27)/V14)</f>
        <v>0.649800093504325</v>
      </c>
      <c r="W54" s="64" t="n">
        <f aca="false">IF(W14=0,0,-(W17+W18+W19+W20+W26+W27)/W14)</f>
        <v>0.683324517884405</v>
      </c>
      <c r="X54" s="64" t="n">
        <f aca="false">IF(X14=0,0,-(X17+X18+X19+X20+X26+X27)/X14)</f>
        <v>0.797003572497436</v>
      </c>
      <c r="Y54" s="64" t="n">
        <f aca="false">IF(Y14=0,0,-(Y17+Y18+Y19+Y20+Y26+Y27)/Y14)</f>
        <v>0.668008051898964</v>
      </c>
      <c r="Z54" s="64" t="n">
        <f aca="false">IF(Z14=0,0,-(Z17+Z18+Z19+Z20+Z26+Z27)/Z14)</f>
        <v>0.741094360725416</v>
      </c>
      <c r="AA54" s="64" t="n">
        <f aca="false">IF(AA14=0,0,-(AA17+AA18+AA19+AA20+AA26+AA27)/AA14)</f>
        <v>0.712943247681618</v>
      </c>
      <c r="AB54" s="64" t="n">
        <f aca="false">IF(AB14=0,0,-(AB17+AB18+AB19+AB20+AB26+AB27)/AB14)</f>
        <v>0.658755942174783</v>
      </c>
    </row>
    <row r="55" customFormat="false" ht="15" hidden="false" customHeight="false" outlineLevel="0" collapsed="false">
      <c r="A55" s="29" t="s">
        <v>318</v>
      </c>
      <c r="B55" s="60" t="s">
        <v>391</v>
      </c>
      <c r="C55" s="61" t="n">
        <f aca="false">AVERAGE(E55:P55)</f>
        <v>223535.722903091</v>
      </c>
      <c r="D55" s="61" t="n">
        <f aca="false">AVERAGE(Q55:AB55)</f>
        <v>209368.438558155</v>
      </c>
      <c r="E55" s="62" t="n">
        <f aca="false">IF(People!E143=0,0,E12*12/People!E143)</f>
        <v>183000.344</v>
      </c>
      <c r="F55" s="62" t="n">
        <f aca="false">IF(People!F143=0,0,F12*12/People!F143)</f>
        <v>192071.233548387</v>
      </c>
      <c r="G55" s="62" t="n">
        <f aca="false">IF(People!G143=0,0,G12*12/People!G143)</f>
        <v>235115.9625</v>
      </c>
      <c r="H55" s="62" t="n">
        <f aca="false">IF(People!H143=0,0,H12*12/People!H143)</f>
        <v>209150.326451613</v>
      </c>
      <c r="I55" s="62" t="n">
        <f aca="false">IF(People!I143=0,0,I12*12/People!I143)</f>
        <v>209579.40375</v>
      </c>
      <c r="J55" s="62" t="n">
        <f aca="false">IF(People!J143=0,0,J12*12/People!J143)</f>
        <v>263080.75125</v>
      </c>
      <c r="K55" s="62" t="n">
        <f aca="false">IF(People!K143=0,0,K12*12/People!K143)</f>
        <v>221329.39875</v>
      </c>
      <c r="L55" s="62" t="n">
        <f aca="false">IF(People!L143=0,0,L12*12/People!L143)</f>
        <v>181382.34</v>
      </c>
      <c r="M55" s="62" t="n">
        <f aca="false">IF(People!M143=0,0,M12*12/People!M143)</f>
        <v>261509.044541762</v>
      </c>
      <c r="N55" s="62" t="n">
        <f aca="false">IF(People!N143=0,0,N12*12/People!N143)</f>
        <v>234033.340481759</v>
      </c>
      <c r="O55" s="62" t="n">
        <f aca="false">IF(People!O143=0,0,O12*12/People!O143)</f>
        <v>237431.978890364</v>
      </c>
      <c r="P55" s="62" t="n">
        <f aca="false">IF(People!P143=0,0,P12*12/People!P143)</f>
        <v>254744.550673213</v>
      </c>
      <c r="Q55" s="62" t="n">
        <f aca="false">IF(People!Q143=0,0,Q12*12/People!Q143)</f>
        <v>222128.593394065</v>
      </c>
      <c r="R55" s="62" t="n">
        <f aca="false">IF(People!R143=0,0,R12*12/People!R143)</f>
        <v>230530.971493785</v>
      </c>
      <c r="S55" s="62" t="n">
        <f aca="false">IF(People!S143=0,0,S12*12/People!S143)</f>
        <v>228486.502783069</v>
      </c>
      <c r="T55" s="62" t="n">
        <f aca="false">IF(People!T143=0,0,T12*12/People!T143)</f>
        <v>224039.395163306</v>
      </c>
      <c r="U55" s="62" t="n">
        <f aca="false">IF(People!U143=0,0,U12*12/People!U143)</f>
        <v>168394.739154573</v>
      </c>
      <c r="V55" s="62" t="n">
        <f aca="false">IF(People!V143=0,0,V12*12/People!V143)</f>
        <v>223916.951364865</v>
      </c>
      <c r="W55" s="62" t="n">
        <f aca="false">IF(People!W143=0,0,W12*12/People!W143)</f>
        <v>212788.018752154</v>
      </c>
      <c r="X55" s="62" t="n">
        <f aca="false">IF(People!X143=0,0,X12*12/People!X143)</f>
        <v>182571.081594051</v>
      </c>
      <c r="Y55" s="62" t="n">
        <f aca="false">IF(People!Y143=0,0,Y12*12/People!Y143)</f>
        <v>212362.490648372</v>
      </c>
      <c r="Z55" s="62" t="n">
        <f aca="false">IF(People!Z143=0,0,Z12*12/People!Z143)</f>
        <v>191842.563126042</v>
      </c>
      <c r="AA55" s="62" t="n">
        <f aca="false">IF(People!AA143=0,0,AA12*12/People!AA143)</f>
        <v>199444.85396698</v>
      </c>
      <c r="AB55" s="62" t="n">
        <f aca="false">IF(People!AB143=0,0,AB12*12/People!AB143)</f>
        <v>215915.101256596</v>
      </c>
    </row>
    <row r="56" customFormat="false" ht="15" hidden="false" customHeight="false" outlineLevel="0" collapsed="false">
      <c r="A56" s="26" t="s">
        <v>392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393</v>
      </c>
    </row>
    <row r="3" customFormat="false" ht="15" hidden="false" customHeight="false" outlineLevel="0" collapsed="false">
      <c r="A3" s="51" t="s">
        <v>394</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395</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396</v>
      </c>
      <c r="B9" s="60" t="s">
        <v>36</v>
      </c>
      <c r="C9" s="61" t="n">
        <f aca="false">P9</f>
        <v>967669.938318941</v>
      </c>
      <c r="D9" s="61" t="n">
        <f aca="false">AB9</f>
        <v>1412060.20896387</v>
      </c>
      <c r="E9" s="62" t="n">
        <f aca="false">CF!E37</f>
        <v>1577178.87396667</v>
      </c>
      <c r="F9" s="62" t="n">
        <f aca="false">CF!F37</f>
        <v>1525510.87323333</v>
      </c>
      <c r="G9" s="62" t="n">
        <f aca="false">CF!G37</f>
        <v>1178074.13812333</v>
      </c>
      <c r="H9" s="62" t="n">
        <f aca="false">CF!H37</f>
        <v>1074424.97847667</v>
      </c>
      <c r="I9" s="62" t="n">
        <f aca="false">CF!I37</f>
        <v>1135132.32322667</v>
      </c>
      <c r="J9" s="62" t="n">
        <f aca="false">CF!J37</f>
        <v>621616.851991667</v>
      </c>
      <c r="K9" s="62" t="n">
        <f aca="false">CF!K37</f>
        <v>649515.345146667</v>
      </c>
      <c r="L9" s="62" t="n">
        <f aca="false">CF!L37</f>
        <v>710950.822251667</v>
      </c>
      <c r="M9" s="62" t="n">
        <f aca="false">CF!M37</f>
        <v>721565.813171793</v>
      </c>
      <c r="N9" s="62" t="n">
        <f aca="false">CF!N37</f>
        <v>703862.942306065</v>
      </c>
      <c r="O9" s="62" t="n">
        <f aca="false">CF!O37</f>
        <v>829790.89405412</v>
      </c>
      <c r="P9" s="62" t="n">
        <f aca="false">CF!P37</f>
        <v>967669.938318941</v>
      </c>
      <c r="Q9" s="62" t="n">
        <f aca="false">CF!Q37</f>
        <v>1140945.80185743</v>
      </c>
      <c r="R9" s="62" t="n">
        <f aca="false">CF!R37</f>
        <v>1233390.60972538</v>
      </c>
      <c r="S9" s="62" t="n">
        <f aca="false">CF!S37</f>
        <v>1118035.46530776</v>
      </c>
      <c r="T9" s="62" t="n">
        <f aca="false">CF!T37</f>
        <v>1111194.65840302</v>
      </c>
      <c r="U9" s="62" t="n">
        <f aca="false">CF!U37</f>
        <v>1190277.97040334</v>
      </c>
      <c r="V9" s="62" t="n">
        <f aca="false">CF!V37</f>
        <v>1041298.12120599</v>
      </c>
      <c r="W9" s="62" t="n">
        <f aca="false">CF!W37</f>
        <v>1048763.51074271</v>
      </c>
      <c r="X9" s="62" t="n">
        <f aca="false">CF!X37</f>
        <v>1130109.53520448</v>
      </c>
      <c r="Y9" s="62" t="n">
        <f aca="false">CF!Y37</f>
        <v>1225897.94817019</v>
      </c>
      <c r="Z9" s="62" t="n">
        <f aca="false">CF!Z37</f>
        <v>1252253.1620632</v>
      </c>
      <c r="AA9" s="62" t="n">
        <f aca="false">CF!AA37</f>
        <v>1361905.74951337</v>
      </c>
      <c r="AB9" s="62" t="n">
        <f aca="false">CF!AB37</f>
        <v>1412060.20896387</v>
      </c>
    </row>
    <row r="10" customFormat="false" ht="15" hidden="false" customHeight="false" outlineLevel="0" collapsed="false">
      <c r="A10" s="29" t="s">
        <v>397</v>
      </c>
      <c r="B10" s="60" t="s">
        <v>62</v>
      </c>
      <c r="C10" s="61" t="n">
        <f aca="false">P10</f>
        <v>1083263.03420355</v>
      </c>
      <c r="D10" s="61" t="n">
        <f aca="false">AB10</f>
        <v>963472.582547473</v>
      </c>
      <c r="E10" s="62" t="n">
        <f aca="false">Receivables!E21</f>
        <v>745227.46636</v>
      </c>
      <c r="F10" s="62" t="n">
        <f aca="false">Receivables!F21</f>
        <v>725796.186781</v>
      </c>
      <c r="G10" s="62" t="n">
        <f aca="false">Receivables!G21</f>
        <v>782343.8123585</v>
      </c>
      <c r="H10" s="62" t="n">
        <f aca="false">Receivables!H21</f>
        <v>942462.939131</v>
      </c>
      <c r="I10" s="62" t="n">
        <f aca="false">Receivables!I21</f>
        <v>866885.052108</v>
      </c>
      <c r="J10" s="62" t="n">
        <f aca="false">Receivables!J21</f>
        <v>1032623.09124</v>
      </c>
      <c r="K10" s="62" t="n">
        <f aca="false">Receivables!K21</f>
        <v>982611.046273</v>
      </c>
      <c r="L10" s="62" t="n">
        <f aca="false">Receivables!L21</f>
        <v>976603.1344845</v>
      </c>
      <c r="M10" s="62" t="n">
        <f aca="false">Receivables!M21</f>
        <v>918804.29972433</v>
      </c>
      <c r="N10" s="62" t="n">
        <f aca="false">Receivables!N21</f>
        <v>1066047.51911465</v>
      </c>
      <c r="O10" s="62" t="n">
        <f aca="false">Receivables!O21</f>
        <v>1035749.27086315</v>
      </c>
      <c r="P10" s="62" t="n">
        <f aca="false">Receivables!P21</f>
        <v>1083263.03420355</v>
      </c>
      <c r="Q10" s="62" t="n">
        <f aca="false">Receivables!Q21</f>
        <v>1079747.70716858</v>
      </c>
      <c r="R10" s="62" t="n">
        <f aca="false">Receivables!R21</f>
        <v>1081935.68532407</v>
      </c>
      <c r="S10" s="62" t="n">
        <f aca="false">Receivables!S21</f>
        <v>1041452.14175601</v>
      </c>
      <c r="T10" s="62" t="n">
        <f aca="false">Receivables!T21</f>
        <v>1043675.23270443</v>
      </c>
      <c r="U10" s="62" t="n">
        <f aca="false">Receivables!U21</f>
        <v>1105029.11224221</v>
      </c>
      <c r="V10" s="62" t="n">
        <f aca="false">Receivables!V21</f>
        <v>856496.874409607</v>
      </c>
      <c r="W10" s="62" t="n">
        <f aca="false">Receivables!W21</f>
        <v>1010572.43023473</v>
      </c>
      <c r="X10" s="62" t="n">
        <f aca="false">Receivables!X21</f>
        <v>1036623.36850528</v>
      </c>
      <c r="Y10" s="62" t="n">
        <f aca="false">Receivables!Y21</f>
        <v>908070.454018616</v>
      </c>
      <c r="Z10" s="62" t="n">
        <f aca="false">Receivables!Z21</f>
        <v>1007723.25955672</v>
      </c>
      <c r="AA10" s="62" t="n">
        <f aca="false">Receivables!AA21</f>
        <v>946475.560471166</v>
      </c>
      <c r="AB10" s="62" t="n">
        <f aca="false">Receivables!AB21</f>
        <v>963472.582547473</v>
      </c>
    </row>
    <row r="11" customFormat="false" ht="15" hidden="false" customHeight="false" outlineLevel="0" collapsed="false">
      <c r="A11" s="29" t="s">
        <v>398</v>
      </c>
      <c r="B11" s="60" t="s">
        <v>51</v>
      </c>
      <c r="C11" s="61" t="n">
        <f aca="false">P11</f>
        <v>660475.621276847</v>
      </c>
      <c r="D11" s="61" t="n">
        <f aca="false">AB11</f>
        <v>726433.972420348</v>
      </c>
      <c r="E11" s="62" t="n">
        <f aca="false">Engagements!E604</f>
        <v>416046.58</v>
      </c>
      <c r="F11" s="62" t="n">
        <f aca="false">Engagements!F604</f>
        <v>439546.84</v>
      </c>
      <c r="G11" s="62" t="n">
        <f aca="false">Engagements!G604</f>
        <v>560306.13</v>
      </c>
      <c r="H11" s="62" t="n">
        <f aca="false">Engagements!H604</f>
        <v>470979.52</v>
      </c>
      <c r="I11" s="62" t="n">
        <f aca="false">Engagements!I604</f>
        <v>497583.64</v>
      </c>
      <c r="J11" s="62" t="n">
        <f aca="false">Engagements!J604</f>
        <v>572638.86</v>
      </c>
      <c r="K11" s="62" t="n">
        <f aca="false">Engagements!K604</f>
        <v>469393.58</v>
      </c>
      <c r="L11" s="62" t="n">
        <f aca="false">Engagements!L604</f>
        <v>375257.74</v>
      </c>
      <c r="M11" s="62" t="n">
        <f aca="false">Engagements!M604</f>
        <v>584166.354642452</v>
      </c>
      <c r="N11" s="62" t="n">
        <f aca="false">Engagements!N604</f>
        <v>579554.721362151</v>
      </c>
      <c r="O11" s="62" t="n">
        <f aca="false">Engagements!O604</f>
        <v>627286.194548813</v>
      </c>
      <c r="P11" s="62" t="n">
        <f aca="false">Engagements!P604</f>
        <v>660475.621276847</v>
      </c>
      <c r="Q11" s="62" t="n">
        <f aca="false">Engagements!Q604</f>
        <v>639335.282618894</v>
      </c>
      <c r="R11" s="62" t="n">
        <f aca="false">Engagements!R604</f>
        <v>637718.365646613</v>
      </c>
      <c r="S11" s="62" t="n">
        <f aca="false">Engagements!S604</f>
        <v>654730.791290094</v>
      </c>
      <c r="T11" s="62" t="n">
        <f aca="false">Engagements!T604</f>
        <v>679249.80518922</v>
      </c>
      <c r="U11" s="62" t="n">
        <f aca="false">Engagements!U604</f>
        <v>490281.628451821</v>
      </c>
      <c r="V11" s="62" t="n">
        <f aca="false">Engagements!V604</f>
        <v>668856.357557407</v>
      </c>
      <c r="W11" s="62" t="n">
        <f aca="false">Engagements!W604</f>
        <v>631979.139947312</v>
      </c>
      <c r="X11" s="62" t="n">
        <f aca="false">Engagements!X604</f>
        <v>550116.330798151</v>
      </c>
      <c r="Y11" s="62" t="n">
        <f aca="false">Engagements!Y604</f>
        <v>678763.44963653</v>
      </c>
      <c r="Z11" s="62" t="n">
        <f aca="false">Engagements!Z604</f>
        <v>637835.323625286</v>
      </c>
      <c r="AA11" s="62" t="n">
        <f aca="false">Engagements!AA604</f>
        <v>671458.270286347</v>
      </c>
      <c r="AB11" s="62" t="n">
        <f aca="false">Engagements!AB604</f>
        <v>726433.972420348</v>
      </c>
    </row>
    <row r="12" customFormat="false" ht="15" hidden="false" customHeight="false" outlineLevel="0" collapsed="false">
      <c r="A12" s="29" t="s">
        <v>399</v>
      </c>
      <c r="B12" s="60" t="s">
        <v>400</v>
      </c>
      <c r="C12" s="61" t="n">
        <f aca="false">P12</f>
        <v>42000</v>
      </c>
      <c r="D12" s="61" t="n">
        <f aca="false">AB12</f>
        <v>42000</v>
      </c>
      <c r="E12" s="62" t="n">
        <f aca="false">Inputs_Actuals!$C$199</f>
        <v>42000</v>
      </c>
      <c r="F12" s="71" t="n">
        <f aca="false">E12</f>
        <v>42000</v>
      </c>
      <c r="G12" s="71" t="n">
        <f aca="false">F12</f>
        <v>42000</v>
      </c>
      <c r="H12" s="71" t="n">
        <f aca="false">G12</f>
        <v>42000</v>
      </c>
      <c r="I12" s="71" t="n">
        <f aca="false">H12</f>
        <v>42000</v>
      </c>
      <c r="J12" s="71" t="n">
        <f aca="false">I12</f>
        <v>42000</v>
      </c>
      <c r="K12" s="71" t="n">
        <f aca="false">J12</f>
        <v>42000</v>
      </c>
      <c r="L12" s="71" t="n">
        <f aca="false">K12</f>
        <v>42000</v>
      </c>
      <c r="M12" s="71" t="n">
        <f aca="false">L12</f>
        <v>42000</v>
      </c>
      <c r="N12" s="71" t="n">
        <f aca="false">M12</f>
        <v>42000</v>
      </c>
      <c r="O12" s="71" t="n">
        <f aca="false">N12</f>
        <v>42000</v>
      </c>
      <c r="P12" s="71" t="n">
        <f aca="false">O12</f>
        <v>42000</v>
      </c>
      <c r="Q12" s="71" t="n">
        <f aca="false">P12</f>
        <v>42000</v>
      </c>
      <c r="R12" s="71" t="n">
        <f aca="false">Q12</f>
        <v>42000</v>
      </c>
      <c r="S12" s="71" t="n">
        <f aca="false">R12</f>
        <v>42000</v>
      </c>
      <c r="T12" s="71" t="n">
        <f aca="false">S12</f>
        <v>42000</v>
      </c>
      <c r="U12" s="71" t="n">
        <f aca="false">T12</f>
        <v>42000</v>
      </c>
      <c r="V12" s="71" t="n">
        <f aca="false">U12</f>
        <v>42000</v>
      </c>
      <c r="W12" s="71" t="n">
        <f aca="false">V12</f>
        <v>42000</v>
      </c>
      <c r="X12" s="71" t="n">
        <f aca="false">W12</f>
        <v>42000</v>
      </c>
      <c r="Y12" s="71" t="n">
        <f aca="false">X12</f>
        <v>42000</v>
      </c>
      <c r="Z12" s="71" t="n">
        <f aca="false">Y12</f>
        <v>42000</v>
      </c>
      <c r="AA12" s="71" t="n">
        <f aca="false">Z12</f>
        <v>42000</v>
      </c>
      <c r="AB12" s="71" t="n">
        <f aca="false">AA12</f>
        <v>42000</v>
      </c>
    </row>
    <row r="13" customFormat="false" ht="15" hidden="false" customHeight="false" outlineLevel="0" collapsed="false">
      <c r="A13" s="29" t="s">
        <v>401</v>
      </c>
      <c r="B13" s="60" t="s">
        <v>76</v>
      </c>
      <c r="C13" s="61" t="n">
        <f aca="false">P13</f>
        <v>321719.444444445</v>
      </c>
      <c r="D13" s="61" t="n">
        <f aca="false">AB13</f>
        <v>235156.444444445</v>
      </c>
      <c r="E13" s="62" t="n">
        <f aca="false">Fixed_Assets!E27</f>
        <v>388113.888888889</v>
      </c>
      <c r="F13" s="62" t="n">
        <f aca="false">Fixed_Assets!F27</f>
        <v>380877.777777778</v>
      </c>
      <c r="G13" s="62" t="n">
        <f aca="false">Fixed_Assets!G27</f>
        <v>376897.222222222</v>
      </c>
      <c r="H13" s="62" t="n">
        <f aca="false">Fixed_Assets!H27</f>
        <v>370050</v>
      </c>
      <c r="I13" s="62" t="n">
        <f aca="false">Fixed_Assets!I27</f>
        <v>364788.888888889</v>
      </c>
      <c r="J13" s="62" t="n">
        <f aca="false">Fixed_Assets!J27</f>
        <v>357566.666666667</v>
      </c>
      <c r="K13" s="62" t="n">
        <f aca="false">Fixed_Assets!K27</f>
        <v>351936.111111111</v>
      </c>
      <c r="L13" s="62" t="n">
        <f aca="false">Fixed_Assets!L27</f>
        <v>343863.888888889</v>
      </c>
      <c r="M13" s="62" t="n">
        <f aca="false">Fixed_Assets!M27</f>
        <v>341486.111111111</v>
      </c>
      <c r="N13" s="62" t="n">
        <f aca="false">Fixed_Assets!N27</f>
        <v>336569.444444445</v>
      </c>
      <c r="O13" s="62" t="n">
        <f aca="false">Fixed_Assets!O27</f>
        <v>329180.555555556</v>
      </c>
      <c r="P13" s="62" t="n">
        <f aca="false">Fixed_Assets!P27</f>
        <v>321719.444444445</v>
      </c>
      <c r="Q13" s="62" t="n">
        <f aca="false">Fixed_Assets!Q27</f>
        <v>317761.944444445</v>
      </c>
      <c r="R13" s="62" t="n">
        <f aca="false">Fixed_Assets!R27</f>
        <v>310130.055555556</v>
      </c>
      <c r="S13" s="62" t="n">
        <f aca="false">Fixed_Assets!S27</f>
        <v>302423.777777778</v>
      </c>
      <c r="T13" s="62" t="n">
        <f aca="false">Fixed_Assets!T27</f>
        <v>296159.777777778</v>
      </c>
      <c r="U13" s="62" t="n">
        <f aca="false">Fixed_Assets!U27</f>
        <v>288261.388888889</v>
      </c>
      <c r="V13" s="62" t="n">
        <f aca="false">Fixed_Assets!V27</f>
        <v>280288.611111111</v>
      </c>
      <c r="W13" s="62" t="n">
        <f aca="false">Fixed_Assets!W27</f>
        <v>272241.444444445</v>
      </c>
      <c r="X13" s="62" t="n">
        <f aca="false">Fixed_Assets!X27</f>
        <v>264119.888888889</v>
      </c>
      <c r="Y13" s="62" t="n">
        <f aca="false">Fixed_Assets!Y27</f>
        <v>260590.611111111</v>
      </c>
      <c r="Z13" s="62" t="n">
        <f aca="false">Fixed_Assets!Z27</f>
        <v>252186.944444445</v>
      </c>
      <c r="AA13" s="62" t="n">
        <f aca="false">Fixed_Assets!AA27</f>
        <v>243708.888888889</v>
      </c>
      <c r="AB13" s="62" t="n">
        <f aca="false">Fixed_Assets!AB27</f>
        <v>235156.444444445</v>
      </c>
    </row>
    <row r="14" customFormat="false" ht="15" hidden="false" customHeight="false" outlineLevel="0" collapsed="false">
      <c r="A14" s="68" t="s">
        <v>402</v>
      </c>
      <c r="B14" s="69"/>
      <c r="C14" s="70" t="n">
        <f aca="false">P14</f>
        <v>3075128.03824378</v>
      </c>
      <c r="D14" s="70" t="n">
        <f aca="false">AB14</f>
        <v>3379123.20837614</v>
      </c>
      <c r="E14" s="70" t="n">
        <f aca="false">SUM(E9:E13)</f>
        <v>3168566.80921556</v>
      </c>
      <c r="F14" s="70" t="n">
        <f aca="false">SUM(F9:F13)</f>
        <v>3113731.67779211</v>
      </c>
      <c r="G14" s="70" t="n">
        <f aca="false">SUM(G9:G13)</f>
        <v>2939621.30270406</v>
      </c>
      <c r="H14" s="70" t="n">
        <f aca="false">SUM(H9:H13)</f>
        <v>2899917.43760767</v>
      </c>
      <c r="I14" s="70" t="n">
        <f aca="false">SUM(I9:I13)</f>
        <v>2906389.90422356</v>
      </c>
      <c r="J14" s="70" t="n">
        <f aca="false">SUM(J9:J13)</f>
        <v>2626445.46989833</v>
      </c>
      <c r="K14" s="70" t="n">
        <f aca="false">SUM(K9:K13)</f>
        <v>2495456.08253078</v>
      </c>
      <c r="L14" s="70" t="n">
        <f aca="false">SUM(L9:L13)</f>
        <v>2448675.58562506</v>
      </c>
      <c r="M14" s="70" t="n">
        <f aca="false">SUM(M9:M13)</f>
        <v>2608022.57864969</v>
      </c>
      <c r="N14" s="70" t="n">
        <f aca="false">SUM(N9:N13)</f>
        <v>2728034.62722731</v>
      </c>
      <c r="O14" s="70" t="n">
        <f aca="false">SUM(O9:O13)</f>
        <v>2864006.91502164</v>
      </c>
      <c r="P14" s="70" t="n">
        <f aca="false">SUM(P9:P13)</f>
        <v>3075128.03824378</v>
      </c>
      <c r="Q14" s="70" t="n">
        <f aca="false">SUM(Q9:Q13)</f>
        <v>3219790.73608936</v>
      </c>
      <c r="R14" s="70" t="n">
        <f aca="false">SUM(R9:R13)</f>
        <v>3305174.71625162</v>
      </c>
      <c r="S14" s="70" t="n">
        <f aca="false">SUM(S9:S13)</f>
        <v>3158642.17613164</v>
      </c>
      <c r="T14" s="70" t="n">
        <f aca="false">SUM(T9:T13)</f>
        <v>3172279.47407445</v>
      </c>
      <c r="U14" s="70" t="n">
        <f aca="false">SUM(U9:U13)</f>
        <v>3115850.09998626</v>
      </c>
      <c r="V14" s="70" t="n">
        <f aca="false">SUM(V9:V13)</f>
        <v>2888939.96428412</v>
      </c>
      <c r="W14" s="70" t="n">
        <f aca="false">SUM(W9:W13)</f>
        <v>3005556.5253692</v>
      </c>
      <c r="X14" s="70" t="n">
        <f aca="false">SUM(X9:X13)</f>
        <v>3022969.1233968</v>
      </c>
      <c r="Y14" s="70" t="n">
        <f aca="false">SUM(Y9:Y13)</f>
        <v>3115322.46293645</v>
      </c>
      <c r="Z14" s="70" t="n">
        <f aca="false">SUM(Z9:Z13)</f>
        <v>3191998.68968965</v>
      </c>
      <c r="AA14" s="70" t="n">
        <f aca="false">SUM(AA9:AA13)</f>
        <v>3265548.46915977</v>
      </c>
      <c r="AB14" s="70" t="n">
        <f aca="false">SUM(AB9:AB13)</f>
        <v>3379123.20837614</v>
      </c>
    </row>
    <row r="15" customFormat="false" ht="15" hidden="false" customHeight="false" outlineLevel="0" collapsed="false">
      <c r="A15" s="23" t="s">
        <v>403</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row>
    <row r="16" customFormat="false" ht="15" hidden="false" customHeight="false" outlineLevel="0" collapsed="false">
      <c r="A16" s="29" t="s">
        <v>404</v>
      </c>
      <c r="B16" s="60" t="s">
        <v>68</v>
      </c>
      <c r="C16" s="61" t="n">
        <f aca="false">P16</f>
        <v>19078.3834339666</v>
      </c>
      <c r="D16" s="61" t="n">
        <f aca="false">AB16</f>
        <v>0</v>
      </c>
      <c r="E16" s="62" t="n">
        <f aca="false">Payables!E12</f>
        <v>8684.88799</v>
      </c>
      <c r="F16" s="62" t="n">
        <f aca="false">Payables!F12</f>
        <v>10135.76231</v>
      </c>
      <c r="G16" s="62" t="n">
        <f aca="false">Payables!G12</f>
        <v>3031.22156</v>
      </c>
      <c r="H16" s="62" t="n">
        <f aca="false">Payables!H12</f>
        <v>19826.357125</v>
      </c>
      <c r="I16" s="62" t="n">
        <f aca="false">Payables!I12</f>
        <v>44771.49708</v>
      </c>
      <c r="J16" s="62" t="n">
        <f aca="false">Payables!J12</f>
        <v>52865.027485</v>
      </c>
      <c r="K16" s="62" t="n">
        <f aca="false">Payables!K12</f>
        <v>23775.292945</v>
      </c>
      <c r="L16" s="62" t="n">
        <f aca="false">Payables!L12</f>
        <v>15088.84159</v>
      </c>
      <c r="M16" s="62" t="n">
        <f aca="false">Payables!M12</f>
        <v>44973.1880456479</v>
      </c>
      <c r="N16" s="62" t="n">
        <f aca="false">Payables!N12</f>
        <v>20188.754385353</v>
      </c>
      <c r="O16" s="62" t="n">
        <f aca="false">Payables!O12</f>
        <v>5690.35657053398</v>
      </c>
      <c r="P16" s="62" t="n">
        <f aca="false">Payables!P12</f>
        <v>19078.3834339666</v>
      </c>
      <c r="Q16" s="62" t="n">
        <f aca="false">Payables!Q12</f>
        <v>17591.1005682754</v>
      </c>
      <c r="R16" s="62" t="n">
        <f aca="false">Payables!R12</f>
        <v>17695.717563669</v>
      </c>
      <c r="S16" s="62" t="n">
        <f aca="false">Payables!S12</f>
        <v>48.8037887485734</v>
      </c>
      <c r="T16" s="62" t="n">
        <f aca="false">Payables!T12</f>
        <v>0</v>
      </c>
      <c r="U16" s="62" t="n">
        <f aca="false">Payables!U12</f>
        <v>0</v>
      </c>
      <c r="V16" s="62" t="n">
        <f aca="false">Payables!V12</f>
        <v>0</v>
      </c>
      <c r="W16" s="62" t="n">
        <f aca="false">Payables!W12</f>
        <v>0</v>
      </c>
      <c r="X16" s="62" t="n">
        <f aca="false">Payables!X12</f>
        <v>0</v>
      </c>
      <c r="Y16" s="62" t="n">
        <f aca="false">Payables!Y12</f>
        <v>0</v>
      </c>
      <c r="Z16" s="62" t="n">
        <f aca="false">Payables!Z12</f>
        <v>0</v>
      </c>
      <c r="AA16" s="62" t="n">
        <f aca="false">Payables!AA12</f>
        <v>0</v>
      </c>
      <c r="AB16" s="62" t="n">
        <f aca="false">Payables!AB12</f>
        <v>0</v>
      </c>
    </row>
    <row r="17" customFormat="false" ht="15" hidden="false" customHeight="false" outlineLevel="0" collapsed="false">
      <c r="A17" s="29" t="s">
        <v>405</v>
      </c>
      <c r="B17" s="60" t="s">
        <v>68</v>
      </c>
      <c r="C17" s="61" t="n">
        <f aca="false">P17</f>
        <v>25444.8727398458</v>
      </c>
      <c r="D17" s="61" t="n">
        <f aca="false">AB17</f>
        <v>23186.8298519565</v>
      </c>
      <c r="E17" s="62" t="n">
        <f aca="false">Payables!E17</f>
        <v>15579.9582</v>
      </c>
      <c r="F17" s="62" t="n">
        <f aca="false">Payables!F17</f>
        <v>19244.3515</v>
      </c>
      <c r="G17" s="62" t="n">
        <f aca="false">Payables!G17</f>
        <v>24125.202</v>
      </c>
      <c r="H17" s="62" t="n">
        <f aca="false">Payables!H17</f>
        <v>19285.1067</v>
      </c>
      <c r="I17" s="62" t="n">
        <f aca="false">Payables!I17</f>
        <v>19822.8362</v>
      </c>
      <c r="J17" s="62" t="n">
        <f aca="false">Payables!J17</f>
        <v>30654.4589</v>
      </c>
      <c r="K17" s="62" t="n">
        <f aca="false">Payables!K17</f>
        <v>23581.694</v>
      </c>
      <c r="L17" s="62" t="n">
        <f aca="false">Payables!L17</f>
        <v>20639.1345</v>
      </c>
      <c r="M17" s="62" t="n">
        <f aca="false">Payables!M17</f>
        <v>29397.0677762622</v>
      </c>
      <c r="N17" s="62" t="n">
        <f aca="false">Payables!N17</f>
        <v>25286.0745631194</v>
      </c>
      <c r="O17" s="62" t="n">
        <f aca="false">Payables!O17</f>
        <v>23445.1811531324</v>
      </c>
      <c r="P17" s="62" t="n">
        <f aca="false">Payables!P17</f>
        <v>25444.8727398458</v>
      </c>
      <c r="Q17" s="62" t="n">
        <f aca="false">Payables!Q17</f>
        <v>24463.7438769389</v>
      </c>
      <c r="R17" s="62" t="n">
        <f aca="false">Payables!R17</f>
        <v>25482.0481254976</v>
      </c>
      <c r="S17" s="62" t="n">
        <f aca="false">Payables!S17</f>
        <v>25638.7875619402</v>
      </c>
      <c r="T17" s="62" t="n">
        <f aca="false">Payables!T17</f>
        <v>25254.901737866</v>
      </c>
      <c r="U17" s="62" t="n">
        <f aca="false">Payables!U17</f>
        <v>19226.3886474852</v>
      </c>
      <c r="V17" s="62" t="n">
        <f aca="false">Payables!V17</f>
        <v>24575.4373510537</v>
      </c>
      <c r="W17" s="62" t="n">
        <f aca="false">Payables!W17</f>
        <v>22953.105402209</v>
      </c>
      <c r="X17" s="62" t="n">
        <f aca="false">Payables!X17</f>
        <v>18916.2162211012</v>
      </c>
      <c r="Y17" s="62" t="n">
        <f aca="false">Payables!Y17</f>
        <v>23540.3929139293</v>
      </c>
      <c r="Z17" s="62" t="n">
        <f aca="false">Payables!Z17</f>
        <v>20577.4318304314</v>
      </c>
      <c r="AA17" s="62" t="n">
        <f aca="false">Payables!AA17</f>
        <v>21435.7139595968</v>
      </c>
      <c r="AB17" s="62" t="n">
        <f aca="false">Payables!AB17</f>
        <v>23186.8298519565</v>
      </c>
    </row>
    <row r="18" customFormat="false" ht="15" hidden="false" customHeight="false" outlineLevel="0" collapsed="false">
      <c r="A18" s="29" t="s">
        <v>406</v>
      </c>
      <c r="B18" s="60" t="s">
        <v>68</v>
      </c>
      <c r="C18" s="61" t="n">
        <f aca="false">P18</f>
        <v>30157.75</v>
      </c>
      <c r="D18" s="61" t="n">
        <f aca="false">AB18</f>
        <v>31062.4825</v>
      </c>
      <c r="E18" s="62" t="n">
        <f aca="false">Payables!E22</f>
        <v>25783.655</v>
      </c>
      <c r="F18" s="62" t="n">
        <f aca="false">Payables!F22</f>
        <v>42058.722</v>
      </c>
      <c r="G18" s="62" t="n">
        <f aca="false">Payables!G22</f>
        <v>33919.299</v>
      </c>
      <c r="H18" s="62" t="n">
        <f aca="false">Payables!H22</f>
        <v>30144.028</v>
      </c>
      <c r="I18" s="62" t="n">
        <f aca="false">Payables!I22</f>
        <v>33914.775</v>
      </c>
      <c r="J18" s="62" t="n">
        <f aca="false">Payables!J22</f>
        <v>29600.318</v>
      </c>
      <c r="K18" s="62" t="n">
        <f aca="false">Payables!K22</f>
        <v>39168.739</v>
      </c>
      <c r="L18" s="62" t="n">
        <f aca="false">Payables!L22</f>
        <v>26484.3</v>
      </c>
      <c r="M18" s="62" t="n">
        <f aca="false">Payables!M22</f>
        <v>33132.75</v>
      </c>
      <c r="N18" s="62" t="n">
        <f aca="false">Payables!N22</f>
        <v>41022.45</v>
      </c>
      <c r="O18" s="62" t="n">
        <f aca="false">Payables!O22</f>
        <v>30157.75</v>
      </c>
      <c r="P18" s="62" t="n">
        <f aca="false">Payables!P22</f>
        <v>30157.75</v>
      </c>
      <c r="Q18" s="62" t="n">
        <f aca="false">Payables!Q22</f>
        <v>49985.3865</v>
      </c>
      <c r="R18" s="62" t="n">
        <f aca="false">Payables!R22</f>
        <v>31062.4825</v>
      </c>
      <c r="S18" s="62" t="n">
        <f aca="false">Payables!S22</f>
        <v>31062.4825</v>
      </c>
      <c r="T18" s="62" t="n">
        <f aca="false">Payables!T22</f>
        <v>40973.1833</v>
      </c>
      <c r="U18" s="62" t="n">
        <f aca="false">Payables!U22</f>
        <v>31062.4825</v>
      </c>
      <c r="V18" s="62" t="n">
        <f aca="false">Payables!V22</f>
        <v>31062.4825</v>
      </c>
      <c r="W18" s="62" t="n">
        <f aca="false">Payables!W22</f>
        <v>31062.4825</v>
      </c>
      <c r="X18" s="62" t="n">
        <f aca="false">Payables!X22</f>
        <v>31062.4825</v>
      </c>
      <c r="Y18" s="62" t="n">
        <f aca="false">Payables!Y22</f>
        <v>34037.4825</v>
      </c>
      <c r="Z18" s="62" t="n">
        <f aca="false">Payables!Z22</f>
        <v>31062.4825</v>
      </c>
      <c r="AA18" s="62" t="n">
        <f aca="false">Payables!AA22</f>
        <v>31062.4825</v>
      </c>
      <c r="AB18" s="62" t="n">
        <f aca="false">Payables!AB22</f>
        <v>31062.4825</v>
      </c>
    </row>
    <row r="19" customFormat="false" ht="15" hidden="false" customHeight="false" outlineLevel="0" collapsed="false">
      <c r="A19" s="29" t="s">
        <v>407</v>
      </c>
      <c r="B19" s="60" t="s">
        <v>58</v>
      </c>
      <c r="C19" s="61" t="n">
        <f aca="false">P19</f>
        <v>94847.6682192764</v>
      </c>
      <c r="D19" s="61" t="n">
        <f aca="false">AB19</f>
        <v>105721.816049325</v>
      </c>
      <c r="E19" s="62" t="n">
        <f aca="false">People!E165</f>
        <v>89474.3384666667</v>
      </c>
      <c r="F19" s="62" t="n">
        <f aca="false">People!F165</f>
        <v>92228.5977333333</v>
      </c>
      <c r="G19" s="62" t="n">
        <f aca="false">People!G165</f>
        <v>230155.894933333</v>
      </c>
      <c r="H19" s="62" t="n">
        <f aca="false">People!H165</f>
        <v>91552.2874666666</v>
      </c>
      <c r="I19" s="62" t="n">
        <f aca="false">People!I165</f>
        <v>92669.3464666666</v>
      </c>
      <c r="J19" s="62" t="n">
        <f aca="false">People!J165</f>
        <v>92659.9634666667</v>
      </c>
      <c r="K19" s="62" t="n">
        <f aca="false">People!K165</f>
        <v>92694.1822666666</v>
      </c>
      <c r="L19" s="62" t="n">
        <f aca="false">People!L165</f>
        <v>92642.9398666667</v>
      </c>
      <c r="M19" s="62" t="n">
        <f aca="false">People!M165</f>
        <v>94291.4577777778</v>
      </c>
      <c r="N19" s="62" t="n">
        <f aca="false">People!N165</f>
        <v>95457.5658796296</v>
      </c>
      <c r="O19" s="62" t="n">
        <f aca="false">People!O165</f>
        <v>94878.8449729938</v>
      </c>
      <c r="P19" s="62" t="n">
        <f aca="false">People!P165</f>
        <v>94847.6682192764</v>
      </c>
      <c r="Q19" s="62" t="n">
        <f aca="false">People!Q165</f>
        <v>101837.915484294</v>
      </c>
      <c r="R19" s="62" t="n">
        <f aca="false">People!R165</f>
        <v>101810.669889937</v>
      </c>
      <c r="S19" s="62" t="n">
        <f aca="false">People!S165</f>
        <v>222784.364958974</v>
      </c>
      <c r="T19" s="62" t="n">
        <f aca="false">People!T165</f>
        <v>103573.620394169</v>
      </c>
      <c r="U19" s="62" t="n">
        <f aca="false">People!U165</f>
        <v>103559.409189304</v>
      </c>
      <c r="V19" s="62" t="n">
        <f aca="false">People!V165</f>
        <v>103545.014351401</v>
      </c>
      <c r="W19" s="62" t="n">
        <f aca="false">People!W165</f>
        <v>103530.369181791</v>
      </c>
      <c r="X19" s="62" t="n">
        <f aca="false">People!X165</f>
        <v>103530.723158026</v>
      </c>
      <c r="Y19" s="62" t="n">
        <f aca="false">People!Y165</f>
        <v>105805.958993546</v>
      </c>
      <c r="Z19" s="62" t="n">
        <f aca="false">People!Z165</f>
        <v>105777.637672164</v>
      </c>
      <c r="AA19" s="62" t="n">
        <f aca="false">People!AA165</f>
        <v>105749.549890318</v>
      </c>
      <c r="AB19" s="62" t="n">
        <f aca="false">People!AB165</f>
        <v>105721.816049325</v>
      </c>
    </row>
    <row r="20" customFormat="false" ht="15" hidden="false" customHeight="false" outlineLevel="0" collapsed="false">
      <c r="A20" s="29" t="s">
        <v>408</v>
      </c>
      <c r="B20" s="60" t="s">
        <v>70</v>
      </c>
      <c r="C20" s="61" t="n">
        <f aca="false">P20</f>
        <v>116769.355159044</v>
      </c>
      <c r="D20" s="61" t="n">
        <f aca="false">AB20</f>
        <v>126918.936918703</v>
      </c>
      <c r="E20" s="62" t="n">
        <f aca="false">VAT!E25</f>
        <v>78952.80681</v>
      </c>
      <c r="F20" s="62" t="n">
        <f aca="false">VAT!F25</f>
        <v>53605.94799</v>
      </c>
      <c r="G20" s="62" t="n">
        <f aca="false">VAT!G25</f>
        <v>54997.58893</v>
      </c>
      <c r="H20" s="62" t="n">
        <f aca="false">VAT!H25</f>
        <v>78835.513985</v>
      </c>
      <c r="I20" s="62" t="n">
        <f aca="false">VAT!I25</f>
        <v>76505.40438</v>
      </c>
      <c r="J20" s="62" t="n">
        <f aca="false">VAT!J25</f>
        <v>67369.06564</v>
      </c>
      <c r="K20" s="62" t="n">
        <f aca="false">VAT!K25</f>
        <v>74965.410535</v>
      </c>
      <c r="L20" s="62" t="n">
        <f aca="false">VAT!L25</f>
        <v>76102.610595</v>
      </c>
      <c r="M20" s="62" t="n">
        <f aca="false">VAT!M25</f>
        <v>53971.7678236063</v>
      </c>
      <c r="N20" s="62" t="n">
        <f aca="false">VAT!N25</f>
        <v>62814.4768951447</v>
      </c>
      <c r="O20" s="62" t="n">
        <f aca="false">VAT!O25</f>
        <v>94624.4909162415</v>
      </c>
      <c r="P20" s="62" t="n">
        <f aca="false">VAT!P25</f>
        <v>116769.355159044</v>
      </c>
      <c r="Q20" s="62" t="n">
        <f aca="false">VAT!Q25</f>
        <v>136661.985056371</v>
      </c>
      <c r="R20" s="62" t="n">
        <f aca="false">VAT!R25</f>
        <v>122040.008734291</v>
      </c>
      <c r="S20" s="62" t="n">
        <f aca="false">VAT!S25</f>
        <v>115273.834120082</v>
      </c>
      <c r="T20" s="62" t="n">
        <f aca="false">VAT!T25</f>
        <v>105788.491025321</v>
      </c>
      <c r="U20" s="62" t="n">
        <f aca="false">VAT!U25</f>
        <v>114968.942506424</v>
      </c>
      <c r="V20" s="62" t="n">
        <f aca="false">VAT!V25</f>
        <v>90339.4975076614</v>
      </c>
      <c r="W20" s="62" t="n">
        <f aca="false">VAT!W25</f>
        <v>94455.6252423151</v>
      </c>
      <c r="X20" s="62" t="n">
        <f aca="false">VAT!X25</f>
        <v>125190.212493391</v>
      </c>
      <c r="Y20" s="62" t="n">
        <f aca="false">VAT!Y25</f>
        <v>106932.32959173</v>
      </c>
      <c r="Z20" s="62" t="n">
        <f aca="false">VAT!Z25</f>
        <v>118739.351740005</v>
      </c>
      <c r="AA20" s="62" t="n">
        <f aca="false">VAT!AA25</f>
        <v>130323.929669666</v>
      </c>
      <c r="AB20" s="62" t="n">
        <f aca="false">VAT!AB25</f>
        <v>126918.936918703</v>
      </c>
    </row>
    <row r="21" customFormat="false" ht="15" hidden="false" customHeight="false" outlineLevel="0" collapsed="false">
      <c r="A21" s="29" t="s">
        <v>409</v>
      </c>
      <c r="B21" s="60" t="s">
        <v>51</v>
      </c>
      <c r="C21" s="61" t="n">
        <f aca="false">P21</f>
        <v>3002.17706821496</v>
      </c>
      <c r="D21" s="61" t="n">
        <f aca="false">AB21</f>
        <v>1.56433088704944E-010</v>
      </c>
      <c r="E21" s="62" t="n">
        <f aca="false">Engagements!E605</f>
        <v>44115.87</v>
      </c>
      <c r="F21" s="62" t="n">
        <f aca="false">Engagements!F605</f>
        <v>35015.54</v>
      </c>
      <c r="G21" s="62" t="n">
        <f aca="false">Engagements!G605</f>
        <v>23217.76</v>
      </c>
      <c r="H21" s="62" t="n">
        <f aca="false">Engagements!H605</f>
        <v>36015.43</v>
      </c>
      <c r="I21" s="62" t="n">
        <f aca="false">Engagements!I605</f>
        <v>11299.39</v>
      </c>
      <c r="J21" s="62" t="n">
        <f aca="false">Engagements!J605</f>
        <v>38346.58</v>
      </c>
      <c r="K21" s="62" t="n">
        <f aca="false">Engagements!K605</f>
        <v>15745.86</v>
      </c>
      <c r="L21" s="62" t="n">
        <f aca="false">Engagements!L605</f>
        <v>39044.51</v>
      </c>
      <c r="M21" s="62" t="n">
        <f aca="false">Engagements!M605</f>
        <v>13581.2155390494</v>
      </c>
      <c r="N21" s="62" t="n">
        <f aca="false">Engagements!N605</f>
        <v>5870.96774193564</v>
      </c>
      <c r="O21" s="62" t="n">
        <f aca="false">Engagements!O605</f>
        <v>4578.66184448478</v>
      </c>
      <c r="P21" s="62" t="n">
        <f aca="false">Engagements!P605</f>
        <v>3002.17706821496</v>
      </c>
      <c r="Q21" s="62" t="n">
        <f aca="false">Engagements!Q605</f>
        <v>13511.9234543672</v>
      </c>
      <c r="R21" s="62" t="n">
        <f aca="false">Engagements!R605</f>
        <v>19788.2614082182</v>
      </c>
      <c r="S21" s="62" t="n">
        <f aca="false">Engagements!S605</f>
        <v>1.56433088704944E-010</v>
      </c>
      <c r="T21" s="62" t="n">
        <f aca="false">Engagements!T605</f>
        <v>2439.00883218858</v>
      </c>
      <c r="U21" s="62" t="n">
        <f aca="false">Engagements!U605</f>
        <v>7037.93103448293</v>
      </c>
      <c r="V21" s="62" t="n">
        <f aca="false">Engagements!V605</f>
        <v>1.56433088704944E-010</v>
      </c>
      <c r="W21" s="62" t="n">
        <f aca="false">Engagements!W605</f>
        <v>1.56433088704944E-010</v>
      </c>
      <c r="X21" s="62" t="n">
        <f aca="false">Engagements!X605</f>
        <v>1.56433088704944E-010</v>
      </c>
      <c r="Y21" s="62" t="n">
        <f aca="false">Engagements!Y605</f>
        <v>1.56433088704944E-010</v>
      </c>
      <c r="Z21" s="62" t="n">
        <f aca="false">Engagements!Z605</f>
        <v>1.56433088704944E-010</v>
      </c>
      <c r="AA21" s="62" t="n">
        <f aca="false">Engagements!AA605</f>
        <v>1.56433088704944E-010</v>
      </c>
      <c r="AB21" s="62" t="n">
        <f aca="false">Engagements!AB605</f>
        <v>1.56433088704944E-010</v>
      </c>
    </row>
    <row r="22" customFormat="false" ht="15" hidden="false" customHeight="false" outlineLevel="0" collapsed="false">
      <c r="A22" s="29" t="s">
        <v>410</v>
      </c>
      <c r="B22" s="60" t="s">
        <v>58</v>
      </c>
      <c r="C22" s="61" t="n">
        <f aca="false">P22</f>
        <v>346526.469740631</v>
      </c>
      <c r="D22" s="61" t="n">
        <f aca="false">AB22</f>
        <v>434888.03558108</v>
      </c>
      <c r="E22" s="62" t="n">
        <f aca="false">People!E150</f>
        <v>417950.676636323</v>
      </c>
      <c r="F22" s="62" t="n">
        <f aca="false">People!F150</f>
        <v>444696.412581437</v>
      </c>
      <c r="G22" s="62" t="n">
        <f aca="false">People!G150</f>
        <v>79696.129381176</v>
      </c>
      <c r="H22" s="62" t="n">
        <f aca="false">People!H150</f>
        <v>106268.026727912</v>
      </c>
      <c r="I22" s="62" t="n">
        <f aca="false">People!I150</f>
        <v>133111.602992928</v>
      </c>
      <c r="J22" s="62" t="n">
        <f aca="false">People!J150</f>
        <v>159952.998887584</v>
      </c>
      <c r="K22" s="62" t="n">
        <f aca="false">People!K150</f>
        <v>186802.346360336</v>
      </c>
      <c r="L22" s="62" t="n">
        <f aca="false">People!L150</f>
        <v>213639.78640368</v>
      </c>
      <c r="M22" s="62" t="n">
        <f aca="false">People!M150</f>
        <v>246700.464577547</v>
      </c>
      <c r="N22" s="62" t="n">
        <f aca="false">People!N150</f>
        <v>280102.758209233</v>
      </c>
      <c r="O22" s="62" t="n">
        <f aca="false">People!O150</f>
        <v>313319.130549989</v>
      </c>
      <c r="P22" s="62" t="n">
        <f aca="false">People!P150</f>
        <v>346526.469740631</v>
      </c>
      <c r="Q22" s="62" t="n">
        <f aca="false">People!Q150</f>
        <v>382098.205376796</v>
      </c>
      <c r="R22" s="62" t="n">
        <f aca="false">People!R150</f>
        <v>417661.190142423</v>
      </c>
      <c r="S22" s="62" t="n">
        <f aca="false">People!S150</f>
        <v>106687.042268526</v>
      </c>
      <c r="T22" s="62" t="n">
        <f aca="false">People!T150</f>
        <v>142872.243785927</v>
      </c>
      <c r="U22" s="62" t="n">
        <f aca="false">People!U150</f>
        <v>179052.409733499</v>
      </c>
      <c r="V22" s="62" t="n">
        <f aca="false">People!V150</f>
        <v>215227.48632446</v>
      </c>
      <c r="W22" s="62" t="n">
        <f aca="false">People!W150</f>
        <v>251397.399172735</v>
      </c>
      <c r="X22" s="62" t="n">
        <f aca="false">People!X150</f>
        <v>287567.437474929</v>
      </c>
      <c r="Y22" s="62" t="n">
        <f aca="false">People!Y150</f>
        <v>324410.062202132</v>
      </c>
      <c r="Z22" s="62" t="n">
        <f aca="false">People!Z150</f>
        <v>361244.321645353</v>
      </c>
      <c r="AA22" s="62" t="n">
        <f aca="false">People!AA150</f>
        <v>398070.277837438</v>
      </c>
      <c r="AB22" s="62" t="n">
        <f aca="false">People!AB150</f>
        <v>434888.03558108</v>
      </c>
    </row>
    <row r="23" customFormat="false" ht="15" hidden="false" customHeight="false" outlineLevel="0" collapsed="false">
      <c r="A23" s="29" t="s">
        <v>411</v>
      </c>
      <c r="B23" s="60" t="s">
        <v>72</v>
      </c>
      <c r="C23" s="61" t="n">
        <f aca="false">P23</f>
        <v>-28504.8209095465</v>
      </c>
      <c r="D23" s="61" t="n">
        <f aca="false">AB23</f>
        <v>-19345.6582337199</v>
      </c>
      <c r="E23" s="62" t="n">
        <f aca="false">Tax!E19</f>
        <v>22300</v>
      </c>
      <c r="F23" s="62" t="n">
        <f aca="false">Tax!F19</f>
        <v>22300</v>
      </c>
      <c r="G23" s="62" t="n">
        <f aca="false">Tax!G19</f>
        <v>-4100.32761064678</v>
      </c>
      <c r="H23" s="62" t="n">
        <f aca="false">Tax!H19</f>
        <v>1012.69518568871</v>
      </c>
      <c r="I23" s="62" t="n">
        <f aca="false">Tax!I19</f>
        <v>4052.57711795185</v>
      </c>
      <c r="J23" s="62" t="n">
        <f aca="false">Tax!J19</f>
        <v>-7962.26077510515</v>
      </c>
      <c r="K23" s="62" t="n">
        <f aca="false">Tax!K19</f>
        <v>-39955.2157151876</v>
      </c>
      <c r="L23" s="62" t="n">
        <f aca="false">Tax!L19</f>
        <v>-43784.8807100186</v>
      </c>
      <c r="M23" s="62" t="n">
        <f aca="false">Tax!M19</f>
        <v>-57918.8236073747</v>
      </c>
      <c r="N23" s="62" t="n">
        <f aca="false">Tax!N19</f>
        <v>-40479.0544632538</v>
      </c>
      <c r="O23" s="62" t="n">
        <f aca="false">Tax!O19</f>
        <v>-16752.1699584935</v>
      </c>
      <c r="P23" s="62" t="n">
        <f aca="false">Tax!P19</f>
        <v>-28504.8209095465</v>
      </c>
      <c r="Q23" s="62" t="n">
        <f aca="false">Tax!Q19</f>
        <v>-19128.8701865313</v>
      </c>
      <c r="R23" s="62" t="n">
        <f aca="false">Tax!R19</f>
        <v>-896.14350328677</v>
      </c>
      <c r="S23" s="62" t="n">
        <f aca="false">Tax!S19</f>
        <v>-12921.3956561391</v>
      </c>
      <c r="T23" s="62" t="n">
        <f aca="false">Tax!T19</f>
        <v>2767.47200724431</v>
      </c>
      <c r="U23" s="62" t="n">
        <f aca="false">Tax!U19</f>
        <v>-5337.24606398634</v>
      </c>
      <c r="V23" s="62" t="n">
        <f aca="false">Tax!V19</f>
        <v>-18461.196729972</v>
      </c>
      <c r="W23" s="62" t="n">
        <f aca="false">Tax!W19</f>
        <v>-5346.05428151084</v>
      </c>
      <c r="X23" s="62" t="n">
        <f aca="false">Tax!X19</f>
        <v>-6332.6879377747</v>
      </c>
      <c r="Y23" s="62" t="n">
        <f aca="false">Tax!Y19</f>
        <v>-22095.542056975</v>
      </c>
      <c r="Z23" s="62" t="n">
        <f aca="false">Tax!Z19</f>
        <v>-15938.0618445631</v>
      </c>
      <c r="AA23" s="62" t="n">
        <f aca="false">Tax!AA19</f>
        <v>-5884.45652014227</v>
      </c>
      <c r="AB23" s="62" t="n">
        <f aca="false">Tax!AB19</f>
        <v>-19345.6582337199</v>
      </c>
    </row>
    <row r="24" customFormat="false" ht="15" hidden="false" customHeight="false" outlineLevel="0" collapsed="false">
      <c r="A24" s="29" t="s">
        <v>412</v>
      </c>
      <c r="B24" s="60" t="s">
        <v>72</v>
      </c>
      <c r="C24" s="61" t="n">
        <f aca="false">P24</f>
        <v>-28801.0381420993</v>
      </c>
      <c r="D24" s="61" t="n">
        <f aca="false">AB24</f>
        <v>-18874.9945471277</v>
      </c>
      <c r="E24" s="62" t="n">
        <f aca="false">Tax!E25</f>
        <v>28100</v>
      </c>
      <c r="F24" s="62" t="n">
        <f aca="false">Tax!F25</f>
        <v>-9900</v>
      </c>
      <c r="G24" s="62" t="n">
        <f aca="false">Tax!G25</f>
        <v>503.436428272216</v>
      </c>
      <c r="H24" s="62" t="n">
        <f aca="false">Tax!H25</f>
        <v>6044.56381892963</v>
      </c>
      <c r="I24" s="62" t="n">
        <f aca="false">Tax!I25</f>
        <v>-28661.0301691707</v>
      </c>
      <c r="J24" s="62" t="n">
        <f aca="false">Tax!J25</f>
        <v>-2667.63174047729</v>
      </c>
      <c r="K24" s="62" t="n">
        <f aca="false">Tax!K25</f>
        <v>-41272.1611068225</v>
      </c>
      <c r="L24" s="62" t="n">
        <f aca="false">Tax!L25</f>
        <v>-90447.4773571449</v>
      </c>
      <c r="M24" s="62" t="n">
        <f aca="false">Tax!M25</f>
        <v>-60708.8277956699</v>
      </c>
      <c r="N24" s="62" t="n">
        <f aca="false">Tax!N25</f>
        <v>-41808.8568116778</v>
      </c>
      <c r="O24" s="62" t="n">
        <f aca="false">Tax!O25</f>
        <v>-61120.3611240545</v>
      </c>
      <c r="P24" s="62" t="n">
        <f aca="false">Tax!P25</f>
        <v>-28801.0381420993</v>
      </c>
      <c r="Q24" s="62" t="n">
        <f aca="false">Tax!Q25</f>
        <v>-18640.0552100481</v>
      </c>
      <c r="R24" s="62" t="n">
        <f aca="false">Tax!R25</f>
        <v>-33192.9741820971</v>
      </c>
      <c r="S24" s="62" t="n">
        <f aca="false">Tax!S25</f>
        <v>-11912.8395262423</v>
      </c>
      <c r="T24" s="62" t="n">
        <f aca="false">Tax!T25</f>
        <v>5089.6300110105</v>
      </c>
      <c r="U24" s="62" t="n">
        <f aca="false">Tax!U25</f>
        <v>-38005.9226128078</v>
      </c>
      <c r="V24" s="62" t="n">
        <f aca="false">Tax!V25</f>
        <v>-17916.4786046773</v>
      </c>
      <c r="W24" s="62" t="n">
        <f aca="false">Tax!W25</f>
        <v>-3703.22786274311</v>
      </c>
      <c r="X24" s="62" t="n">
        <f aca="false">Tax!X25</f>
        <v>-39084.7111205785</v>
      </c>
      <c r="Y24" s="62" t="n">
        <f aca="false">Tax!Y25</f>
        <v>-21855.121407717</v>
      </c>
      <c r="Z24" s="62" t="n">
        <f aca="false">Tax!Z25</f>
        <v>-15182.0859800478</v>
      </c>
      <c r="AA24" s="62" t="n">
        <f aca="false">Tax!AA25</f>
        <v>-38598.9500581838</v>
      </c>
      <c r="AB24" s="62" t="n">
        <f aca="false">Tax!AB25</f>
        <v>-18874.9945471277</v>
      </c>
    </row>
    <row r="25" customFormat="false" ht="15" hidden="false" customHeight="false" outlineLevel="0" collapsed="false">
      <c r="A25" s="29" t="s">
        <v>413</v>
      </c>
      <c r="B25" s="60" t="s">
        <v>78</v>
      </c>
      <c r="C25" s="61" t="n">
        <f aca="false">P25</f>
        <v>50004</v>
      </c>
      <c r="D25" s="61" t="n">
        <f aca="false">AB25</f>
        <v>50004</v>
      </c>
      <c r="E25" s="62" t="n">
        <f aca="false">Financing!E14</f>
        <v>50004</v>
      </c>
      <c r="F25" s="62" t="n">
        <f aca="false">Financing!F14</f>
        <v>50004</v>
      </c>
      <c r="G25" s="62" t="n">
        <f aca="false">Financing!G14</f>
        <v>50004</v>
      </c>
      <c r="H25" s="62" t="n">
        <f aca="false">Financing!H14</f>
        <v>50004</v>
      </c>
      <c r="I25" s="62" t="n">
        <f aca="false">Financing!I14</f>
        <v>50004</v>
      </c>
      <c r="J25" s="62" t="n">
        <f aca="false">Financing!J14</f>
        <v>50004</v>
      </c>
      <c r="K25" s="62" t="n">
        <f aca="false">Financing!K14</f>
        <v>50004</v>
      </c>
      <c r="L25" s="62" t="n">
        <f aca="false">Financing!L14</f>
        <v>50004</v>
      </c>
      <c r="M25" s="62" t="n">
        <f aca="false">Financing!M14</f>
        <v>50004</v>
      </c>
      <c r="N25" s="62" t="n">
        <f aca="false">Financing!N14</f>
        <v>50004</v>
      </c>
      <c r="O25" s="62" t="n">
        <f aca="false">Financing!O14</f>
        <v>50004</v>
      </c>
      <c r="P25" s="62" t="n">
        <f aca="false">Financing!P14</f>
        <v>50004</v>
      </c>
      <c r="Q25" s="62" t="n">
        <f aca="false">Financing!Q14</f>
        <v>50004</v>
      </c>
      <c r="R25" s="62" t="n">
        <f aca="false">Financing!R14</f>
        <v>50004</v>
      </c>
      <c r="S25" s="62" t="n">
        <f aca="false">Financing!S14</f>
        <v>50004</v>
      </c>
      <c r="T25" s="62" t="n">
        <f aca="false">Financing!T14</f>
        <v>50004</v>
      </c>
      <c r="U25" s="62" t="n">
        <f aca="false">Financing!U14</f>
        <v>50004</v>
      </c>
      <c r="V25" s="62" t="n">
        <f aca="false">Financing!V14</f>
        <v>50004</v>
      </c>
      <c r="W25" s="62" t="n">
        <f aca="false">Financing!W14</f>
        <v>50004</v>
      </c>
      <c r="X25" s="62" t="n">
        <f aca="false">Financing!X14</f>
        <v>50004</v>
      </c>
      <c r="Y25" s="62" t="n">
        <f aca="false">Financing!Y14</f>
        <v>50004</v>
      </c>
      <c r="Z25" s="62" t="n">
        <f aca="false">Financing!Z14</f>
        <v>50004</v>
      </c>
      <c r="AA25" s="62" t="n">
        <f aca="false">Financing!AA14</f>
        <v>50004</v>
      </c>
      <c r="AB25" s="62" t="n">
        <f aca="false">Financing!AB14</f>
        <v>50004</v>
      </c>
    </row>
    <row r="26" customFormat="false" ht="15" hidden="false" customHeight="false" outlineLevel="0" collapsed="false">
      <c r="A26" s="29" t="s">
        <v>414</v>
      </c>
      <c r="B26" s="60" t="s">
        <v>78</v>
      </c>
      <c r="C26" s="61" t="n">
        <f aca="false">P26</f>
        <v>66659</v>
      </c>
      <c r="D26" s="61" t="n">
        <f aca="false">AB26</f>
        <v>16655</v>
      </c>
      <c r="E26" s="62" t="n">
        <f aca="false">Financing!E15</f>
        <v>112496</v>
      </c>
      <c r="F26" s="62" t="n">
        <f aca="false">Financing!F15</f>
        <v>108329</v>
      </c>
      <c r="G26" s="62" t="n">
        <f aca="false">Financing!G15</f>
        <v>104162</v>
      </c>
      <c r="H26" s="62" t="n">
        <f aca="false">Financing!H15</f>
        <v>99995</v>
      </c>
      <c r="I26" s="62" t="n">
        <f aca="false">Financing!I15</f>
        <v>95828</v>
      </c>
      <c r="J26" s="62" t="n">
        <f aca="false">Financing!J15</f>
        <v>91661</v>
      </c>
      <c r="K26" s="62" t="n">
        <f aca="false">Financing!K15</f>
        <v>87494</v>
      </c>
      <c r="L26" s="62" t="n">
        <f aca="false">Financing!L15</f>
        <v>83327</v>
      </c>
      <c r="M26" s="62" t="n">
        <f aca="false">Financing!M15</f>
        <v>79160</v>
      </c>
      <c r="N26" s="62" t="n">
        <f aca="false">Financing!N15</f>
        <v>74993</v>
      </c>
      <c r="O26" s="62" t="n">
        <f aca="false">Financing!O15</f>
        <v>70826</v>
      </c>
      <c r="P26" s="62" t="n">
        <f aca="false">Financing!P15</f>
        <v>66659</v>
      </c>
      <c r="Q26" s="62" t="n">
        <f aca="false">Financing!Q15</f>
        <v>62492</v>
      </c>
      <c r="R26" s="62" t="n">
        <f aca="false">Financing!R15</f>
        <v>58325</v>
      </c>
      <c r="S26" s="62" t="n">
        <f aca="false">Financing!S15</f>
        <v>54158</v>
      </c>
      <c r="T26" s="62" t="n">
        <f aca="false">Financing!T15</f>
        <v>49991</v>
      </c>
      <c r="U26" s="62" t="n">
        <f aca="false">Financing!U15</f>
        <v>45824</v>
      </c>
      <c r="V26" s="62" t="n">
        <f aca="false">Financing!V15</f>
        <v>41657</v>
      </c>
      <c r="W26" s="62" t="n">
        <f aca="false">Financing!W15</f>
        <v>37490</v>
      </c>
      <c r="X26" s="62" t="n">
        <f aca="false">Financing!X15</f>
        <v>33323</v>
      </c>
      <c r="Y26" s="62" t="n">
        <f aca="false">Financing!Y15</f>
        <v>29156</v>
      </c>
      <c r="Z26" s="62" t="n">
        <f aca="false">Financing!Z15</f>
        <v>24989</v>
      </c>
      <c r="AA26" s="62" t="n">
        <f aca="false">Financing!AA15</f>
        <v>20822</v>
      </c>
      <c r="AB26" s="62" t="n">
        <f aca="false">Financing!AB15</f>
        <v>16655</v>
      </c>
    </row>
    <row r="27" customFormat="false" ht="15" hidden="false" customHeight="false" outlineLevel="0" collapsed="false">
      <c r="A27" s="68" t="s">
        <v>415</v>
      </c>
      <c r="B27" s="69"/>
      <c r="C27" s="70" t="n">
        <f aca="false">P27</f>
        <v>695183.817309334</v>
      </c>
      <c r="D27" s="70" t="n">
        <f aca="false">AB27</f>
        <v>750216.448120217</v>
      </c>
      <c r="E27" s="70" t="n">
        <f aca="false">E16+E17+E18+E19+E20+E21+E22+E23+E24+E25+E26</f>
        <v>893442.193102989</v>
      </c>
      <c r="F27" s="70" t="n">
        <f aca="false">F16+F17+F18+F19+F20+F21+F22+F23+F24+F25+F26</f>
        <v>867718.334114771</v>
      </c>
      <c r="G27" s="70" t="n">
        <f aca="false">G16+G17+G18+G19+G20+G21+G22+G23+G24+G25+G26</f>
        <v>599712.204622135</v>
      </c>
      <c r="H27" s="70" t="n">
        <f aca="false">H16+H17+H18+H19+H20+H21+H22+H23+H24+H25+H26</f>
        <v>538983.009009197</v>
      </c>
      <c r="I27" s="70" t="n">
        <f aca="false">I16+I17+I18+I19+I20+I21+I22+I23+I24+I25+I26</f>
        <v>533318.399068376</v>
      </c>
      <c r="J27" s="70" t="n">
        <f aca="false">J16+J17+J18+J19+J20+J21+J22+J23+J24+J25+J26</f>
        <v>602483.519863668</v>
      </c>
      <c r="K27" s="70" t="n">
        <f aca="false">K16+K17+K18+K19+K20+K21+K22+K23+K24+K25+K26</f>
        <v>513004.148284992</v>
      </c>
      <c r="L27" s="70" t="n">
        <f aca="false">L16+L17+L18+L19+L20+L21+L22+L23+L24+L25+L26</f>
        <v>482740.764888183</v>
      </c>
      <c r="M27" s="70" t="n">
        <f aca="false">M16+M17+M18+M19+M20+M21+M22+M23+M24+M25+M26</f>
        <v>526584.260136846</v>
      </c>
      <c r="N27" s="70" t="n">
        <f aca="false">N16+N17+N18+N19+N20+N21+N22+N23+N24+N25+N26</f>
        <v>573452.136399483</v>
      </c>
      <c r="O27" s="70" t="n">
        <f aca="false">O16+O17+O18+O19+O20+O21+O22+O23+O24+O25+O26</f>
        <v>609651.884924828</v>
      </c>
      <c r="P27" s="70" t="n">
        <f aca="false">P16+P17+P18+P19+P20+P21+P22+P23+P24+P25+P26</f>
        <v>695183.817309334</v>
      </c>
      <c r="Q27" s="70" t="n">
        <f aca="false">Q16+Q17+Q18+Q19+Q20+Q21+Q22+Q23+Q24+Q25+Q26</f>
        <v>800877.334920463</v>
      </c>
      <c r="R27" s="70" t="n">
        <f aca="false">R16+R17+R18+R19+R20+R21+R22+R23+R24+R25+R26</f>
        <v>809780.260678653</v>
      </c>
      <c r="S27" s="70" t="n">
        <f aca="false">S16+S17+S18+S19+S20+S21+S22+S23+S24+S25+S26</f>
        <v>580823.08001589</v>
      </c>
      <c r="T27" s="70" t="n">
        <f aca="false">T16+T17+T18+T19+T20+T21+T22+T23+T24+T25+T26</f>
        <v>528753.551093727</v>
      </c>
      <c r="U27" s="70" t="n">
        <f aca="false">U16+U17+U18+U19+U20+U21+U22+U23+U24+U25+U26</f>
        <v>507392.394934402</v>
      </c>
      <c r="V27" s="70" t="n">
        <f aca="false">V16+V17+V18+V19+V20+V21+V22+V23+V24+V25+V26</f>
        <v>520033.242699927</v>
      </c>
      <c r="W27" s="70" t="n">
        <f aca="false">W16+W17+W18+W19+W20+W21+W22+W23+W24+W25+W26</f>
        <v>581843.699354796</v>
      </c>
      <c r="X27" s="70" t="n">
        <f aca="false">X16+X17+X18+X19+X20+X21+X22+X23+X24+X25+X26</f>
        <v>604176.672789095</v>
      </c>
      <c r="Y27" s="70" t="n">
        <f aca="false">Y16+Y17+Y18+Y19+Y20+Y21+Y22+Y23+Y24+Y25+Y26</f>
        <v>629935.562736646</v>
      </c>
      <c r="Z27" s="70" t="n">
        <f aca="false">Z16+Z17+Z18+Z19+Z20+Z21+Z22+Z23+Z24+Z25+Z26</f>
        <v>681274.077563343</v>
      </c>
      <c r="AA27" s="70" t="n">
        <f aca="false">AA16+AA17+AA18+AA19+AA20+AA21+AA22+AA23+AA24+AA25+AA26</f>
        <v>712984.547278692</v>
      </c>
      <c r="AB27" s="70" t="n">
        <f aca="false">AB16+AB17+AB18+AB19+AB20+AB21+AB22+AB23+AB24+AB25+AB26</f>
        <v>750216.448120217</v>
      </c>
    </row>
    <row r="28" customFormat="false" ht="15" hidden="false" customHeight="false" outlineLevel="0" collapsed="false">
      <c r="A28" s="23" t="s">
        <v>416</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row>
    <row r="29" customFormat="false" ht="15" hidden="false" customHeight="false" outlineLevel="0" collapsed="false">
      <c r="A29" s="29" t="s">
        <v>417</v>
      </c>
      <c r="B29" s="60" t="s">
        <v>418</v>
      </c>
      <c r="C29" s="61" t="n">
        <f aca="false">P29</f>
        <v>50000</v>
      </c>
      <c r="D29" s="61" t="n">
        <f aca="false">AB29</f>
        <v>50000</v>
      </c>
      <c r="E29" s="62" t="n">
        <f aca="false">Inputs_Actuals!$C$215</f>
        <v>50000</v>
      </c>
      <c r="F29" s="71" t="n">
        <f aca="false">E29</f>
        <v>50000</v>
      </c>
      <c r="G29" s="71" t="n">
        <f aca="false">F29</f>
        <v>50000</v>
      </c>
      <c r="H29" s="71" t="n">
        <f aca="false">G29</f>
        <v>50000</v>
      </c>
      <c r="I29" s="71" t="n">
        <f aca="false">H29</f>
        <v>50000</v>
      </c>
      <c r="J29" s="71" t="n">
        <f aca="false">I29</f>
        <v>50000</v>
      </c>
      <c r="K29" s="71" t="n">
        <f aca="false">J29</f>
        <v>50000</v>
      </c>
      <c r="L29" s="71" t="n">
        <f aca="false">K29</f>
        <v>50000</v>
      </c>
      <c r="M29" s="71" t="n">
        <f aca="false">L29</f>
        <v>50000</v>
      </c>
      <c r="N29" s="71" t="n">
        <f aca="false">M29</f>
        <v>50000</v>
      </c>
      <c r="O29" s="71" t="n">
        <f aca="false">N29</f>
        <v>50000</v>
      </c>
      <c r="P29" s="71" t="n">
        <f aca="false">O29</f>
        <v>50000</v>
      </c>
      <c r="Q29" s="71" t="n">
        <f aca="false">P29</f>
        <v>50000</v>
      </c>
      <c r="R29" s="71" t="n">
        <f aca="false">Q29</f>
        <v>50000</v>
      </c>
      <c r="S29" s="71" t="n">
        <f aca="false">R29</f>
        <v>50000</v>
      </c>
      <c r="T29" s="71" t="n">
        <f aca="false">S29</f>
        <v>50000</v>
      </c>
      <c r="U29" s="71" t="n">
        <f aca="false">T29</f>
        <v>50000</v>
      </c>
      <c r="V29" s="71" t="n">
        <f aca="false">U29</f>
        <v>50000</v>
      </c>
      <c r="W29" s="71" t="n">
        <f aca="false">V29</f>
        <v>50000</v>
      </c>
      <c r="X29" s="71" t="n">
        <f aca="false">W29</f>
        <v>50000</v>
      </c>
      <c r="Y29" s="71" t="n">
        <f aca="false">X29</f>
        <v>50000</v>
      </c>
      <c r="Z29" s="71" t="n">
        <f aca="false">Y29</f>
        <v>50000</v>
      </c>
      <c r="AA29" s="71" t="n">
        <f aca="false">Z29</f>
        <v>50000</v>
      </c>
      <c r="AB29" s="71" t="n">
        <f aca="false">AA29</f>
        <v>50000</v>
      </c>
    </row>
    <row r="30" customFormat="false" ht="15" hidden="false" customHeight="false" outlineLevel="0" collapsed="false">
      <c r="A30" s="29" t="s">
        <v>419</v>
      </c>
      <c r="B30" s="60"/>
      <c r="E30" s="62" t="n">
        <f aca="false">Inputs_Actuals!$C$216</f>
        <v>2251073.87</v>
      </c>
      <c r="F30" s="71" t="n">
        <f aca="false">E33</f>
        <v>2225124.61611257</v>
      </c>
      <c r="G30" s="71" t="n">
        <f aca="false">F33</f>
        <v>2196013.34367734</v>
      </c>
      <c r="H30" s="71" t="n">
        <f aca="false">G33</f>
        <v>2289909.09808192</v>
      </c>
      <c r="I30" s="71" t="n">
        <f aca="false">H33</f>
        <v>2310934.42859847</v>
      </c>
      <c r="J30" s="71" t="n">
        <f aca="false">I33</f>
        <v>2323071.50515518</v>
      </c>
      <c r="K30" s="71" t="n">
        <f aca="false">J33</f>
        <v>1973961.95003467</v>
      </c>
      <c r="L30" s="71" t="n">
        <f aca="false">K33</f>
        <v>1932451.93424579</v>
      </c>
      <c r="M30" s="71" t="n">
        <f aca="false">L33</f>
        <v>1915934.82073687</v>
      </c>
      <c r="N30" s="71" t="n">
        <f aca="false">M33</f>
        <v>2031438.31851284</v>
      </c>
      <c r="O30" s="71" t="n">
        <f aca="false">N33</f>
        <v>2104582.49082783</v>
      </c>
      <c r="P30" s="71" t="n">
        <f aca="false">O33</f>
        <v>2204355.03009681</v>
      </c>
      <c r="Q30" s="71" t="n">
        <f aca="false">P33</f>
        <v>2329944.22093445</v>
      </c>
      <c r="R30" s="71" t="n">
        <f aca="false">Q33</f>
        <v>2368913.40116889</v>
      </c>
      <c r="S30" s="71" t="n">
        <f aca="false">R33</f>
        <v>2445394.45557297</v>
      </c>
      <c r="T30" s="71" t="n">
        <f aca="false">S33</f>
        <v>2527819.09611575</v>
      </c>
      <c r="U30" s="71" t="n">
        <f aca="false">T33</f>
        <v>2593525.92298073</v>
      </c>
      <c r="V30" s="71" t="n">
        <f aca="false">U33</f>
        <v>2558457.70505186</v>
      </c>
      <c r="W30" s="71" t="n">
        <f aca="false">V33</f>
        <v>2318906.72158419</v>
      </c>
      <c r="X30" s="71" t="n">
        <f aca="false">W33</f>
        <v>2373712.82601441</v>
      </c>
      <c r="Y30" s="71" t="n">
        <f aca="false">X33</f>
        <v>2368792.4506077</v>
      </c>
      <c r="Z30" s="71" t="n">
        <f aca="false">Y33</f>
        <v>2435386.9001998</v>
      </c>
      <c r="AA30" s="71" t="n">
        <f aca="false">Z33</f>
        <v>2460724.61212631</v>
      </c>
      <c r="AB30" s="71" t="n">
        <f aca="false">AA33</f>
        <v>2502563.92188108</v>
      </c>
    </row>
    <row r="31" customFormat="false" ht="15" hidden="false" customHeight="false" outlineLevel="0" collapsed="false">
      <c r="A31" s="29" t="s">
        <v>420</v>
      </c>
      <c r="B31" s="60" t="s">
        <v>31</v>
      </c>
      <c r="C31" s="61" t="n">
        <f aca="false">SUM(E31:P31)</f>
        <v>528870.350934448</v>
      </c>
      <c r="D31" s="61" t="n">
        <f aca="false">SUM(Q31:AB31)</f>
        <v>566284.749882144</v>
      </c>
      <c r="E31" s="62" t="n">
        <f aca="false">PL!E51</f>
        <v>-25949.2538874337</v>
      </c>
      <c r="F31" s="62" t="n">
        <f aca="false">PL!F51</f>
        <v>-29111.2724352258</v>
      </c>
      <c r="G31" s="62" t="n">
        <f aca="false">PL!G51</f>
        <v>93895.7544045805</v>
      </c>
      <c r="H31" s="62" t="n">
        <f aca="false">PL!H51</f>
        <v>21025.3305165489</v>
      </c>
      <c r="I31" s="62" t="n">
        <f aca="false">PL!I51</f>
        <v>12137.0765567101</v>
      </c>
      <c r="J31" s="62" t="n">
        <f aca="false">PL!J51</f>
        <v>100890.444879485</v>
      </c>
      <c r="K31" s="62" t="n">
        <f aca="false">PL!K51</f>
        <v>-41510.0157888799</v>
      </c>
      <c r="L31" s="62" t="n">
        <f aca="false">PL!L51</f>
        <v>-16517.1135089129</v>
      </c>
      <c r="M31" s="62" t="n">
        <f aca="false">PL!M51</f>
        <v>115503.497775969</v>
      </c>
      <c r="N31" s="62" t="n">
        <f aca="false">PL!N51</f>
        <v>73144.1723149895</v>
      </c>
      <c r="O31" s="62" t="n">
        <f aca="false">PL!O51</f>
        <v>99772.5392689769</v>
      </c>
      <c r="P31" s="62" t="n">
        <f aca="false">PL!P51</f>
        <v>125589.190837641</v>
      </c>
      <c r="Q31" s="62" t="n">
        <f aca="false">PL!Q51</f>
        <v>38969.1802344451</v>
      </c>
      <c r="R31" s="62" t="n">
        <f aca="false">PL!R51</f>
        <v>76481.0544040737</v>
      </c>
      <c r="S31" s="62" t="n">
        <f aca="false">PL!S51</f>
        <v>82424.6405427795</v>
      </c>
      <c r="T31" s="62" t="n">
        <f aca="false">PL!T51</f>
        <v>65706.8268649776</v>
      </c>
      <c r="U31" s="62" t="n">
        <f aca="false">PL!U51</f>
        <v>-35068.2179288615</v>
      </c>
      <c r="V31" s="62" t="n">
        <f aca="false">PL!V51</f>
        <v>77771.227093</v>
      </c>
      <c r="W31" s="62" t="n">
        <f aca="false">PL!W51</f>
        <v>54806.1044302121</v>
      </c>
      <c r="X31" s="62" t="n">
        <f aca="false">PL!X51</f>
        <v>-4920.37540670364</v>
      </c>
      <c r="Y31" s="62" t="n">
        <f aca="false">PL!Y51</f>
        <v>66594.4495921016</v>
      </c>
      <c r="Z31" s="62" t="n">
        <f aca="false">PL!Z51</f>
        <v>25337.7119265029</v>
      </c>
      <c r="AA31" s="62" t="n">
        <f aca="false">PL!AA51</f>
        <v>41839.3097547746</v>
      </c>
      <c r="AB31" s="62" t="n">
        <f aca="false">PL!AB51</f>
        <v>76342.8383748418</v>
      </c>
    </row>
    <row r="32" customFormat="false" ht="15" hidden="false" customHeight="false" outlineLevel="0" collapsed="false">
      <c r="A32" s="29" t="s">
        <v>421</v>
      </c>
      <c r="B32" s="60" t="s">
        <v>78</v>
      </c>
      <c r="C32" s="61" t="n">
        <f aca="false">SUM(E32:P32)</f>
        <v>450000</v>
      </c>
      <c r="D32" s="61" t="n">
        <f aca="false">SUM(Q32:AB32)</f>
        <v>317322.210560669</v>
      </c>
      <c r="E32" s="62" t="n">
        <f aca="false">Financing!E17</f>
        <v>0</v>
      </c>
      <c r="F32" s="62" t="n">
        <f aca="false">Financing!F17</f>
        <v>0</v>
      </c>
      <c r="G32" s="62" t="n">
        <f aca="false">Financing!G17</f>
        <v>0</v>
      </c>
      <c r="H32" s="62" t="n">
        <f aca="false">Financing!H17</f>
        <v>0</v>
      </c>
      <c r="I32" s="62" t="n">
        <f aca="false">Financing!I17</f>
        <v>0</v>
      </c>
      <c r="J32" s="62" t="n">
        <f aca="false">Financing!J17</f>
        <v>450000</v>
      </c>
      <c r="K32" s="62" t="n">
        <f aca="false">Financing!K17</f>
        <v>0</v>
      </c>
      <c r="L32" s="62" t="n">
        <f aca="false">Financing!L17</f>
        <v>0</v>
      </c>
      <c r="M32" s="62" t="n">
        <f aca="false">Financing!M17</f>
        <v>0</v>
      </c>
      <c r="N32" s="62" t="n">
        <f aca="false">Financing!N17</f>
        <v>0</v>
      </c>
      <c r="O32" s="62" t="n">
        <f aca="false">Financing!O17</f>
        <v>0</v>
      </c>
      <c r="P32" s="62" t="n">
        <f aca="false">Financing!P17</f>
        <v>0</v>
      </c>
      <c r="Q32" s="62" t="n">
        <f aca="false">Financing!Q17</f>
        <v>0</v>
      </c>
      <c r="R32" s="62" t="n">
        <f aca="false">Financing!R17</f>
        <v>0</v>
      </c>
      <c r="S32" s="62" t="n">
        <f aca="false">Financing!S17</f>
        <v>0</v>
      </c>
      <c r="T32" s="62" t="n">
        <f aca="false">Financing!T17</f>
        <v>0</v>
      </c>
      <c r="U32" s="62" t="n">
        <f aca="false">Financing!U17</f>
        <v>0</v>
      </c>
      <c r="V32" s="62" t="n">
        <f aca="false">Financing!V17</f>
        <v>317322.210560669</v>
      </c>
      <c r="W32" s="62" t="n">
        <f aca="false">Financing!W17</f>
        <v>0</v>
      </c>
      <c r="X32" s="62" t="n">
        <f aca="false">Financing!X17</f>
        <v>0</v>
      </c>
      <c r="Y32" s="62" t="n">
        <f aca="false">Financing!Y17</f>
        <v>0</v>
      </c>
      <c r="Z32" s="62" t="n">
        <f aca="false">Financing!Z17</f>
        <v>0</v>
      </c>
      <c r="AA32" s="62" t="n">
        <f aca="false">Financing!AA17</f>
        <v>0</v>
      </c>
      <c r="AB32" s="62" t="n">
        <f aca="false">Financing!AB17</f>
        <v>0</v>
      </c>
    </row>
    <row r="33" customFormat="false" ht="15" hidden="false" customHeight="false" outlineLevel="0" collapsed="false">
      <c r="A33" s="29" t="s">
        <v>422</v>
      </c>
      <c r="B33" s="60"/>
      <c r="C33" s="61" t="n">
        <f aca="false">P33</f>
        <v>2329944.22093445</v>
      </c>
      <c r="D33" s="61" t="n">
        <f aca="false">AB33</f>
        <v>2578906.76025592</v>
      </c>
      <c r="E33" s="71" t="n">
        <f aca="false">E30+E31-E32</f>
        <v>2225124.61611257</v>
      </c>
      <c r="F33" s="71" t="n">
        <f aca="false">F30+F31-F32</f>
        <v>2196013.34367734</v>
      </c>
      <c r="G33" s="71" t="n">
        <f aca="false">G30+G31-G32</f>
        <v>2289909.09808192</v>
      </c>
      <c r="H33" s="71" t="n">
        <f aca="false">H30+H31-H32</f>
        <v>2310934.42859847</v>
      </c>
      <c r="I33" s="71" t="n">
        <f aca="false">I30+I31-I32</f>
        <v>2323071.50515518</v>
      </c>
      <c r="J33" s="71" t="n">
        <f aca="false">J30+J31-J32</f>
        <v>1973961.95003467</v>
      </c>
      <c r="K33" s="71" t="n">
        <f aca="false">K30+K31-K32</f>
        <v>1932451.93424579</v>
      </c>
      <c r="L33" s="71" t="n">
        <f aca="false">L30+L31-L32</f>
        <v>1915934.82073687</v>
      </c>
      <c r="M33" s="71" t="n">
        <f aca="false">M30+M31-M32</f>
        <v>2031438.31851284</v>
      </c>
      <c r="N33" s="71" t="n">
        <f aca="false">N30+N31-N32</f>
        <v>2104582.49082783</v>
      </c>
      <c r="O33" s="71" t="n">
        <f aca="false">O30+O31-O32</f>
        <v>2204355.03009681</v>
      </c>
      <c r="P33" s="71" t="n">
        <f aca="false">P30+P31-P32</f>
        <v>2329944.22093445</v>
      </c>
      <c r="Q33" s="71" t="n">
        <f aca="false">Q30+Q31-Q32</f>
        <v>2368913.40116889</v>
      </c>
      <c r="R33" s="71" t="n">
        <f aca="false">R30+R31-R32</f>
        <v>2445394.45557297</v>
      </c>
      <c r="S33" s="71" t="n">
        <f aca="false">S30+S31-S32</f>
        <v>2527819.09611575</v>
      </c>
      <c r="T33" s="71" t="n">
        <f aca="false">T30+T31-T32</f>
        <v>2593525.92298073</v>
      </c>
      <c r="U33" s="71" t="n">
        <f aca="false">U30+U31-U32</f>
        <v>2558457.70505186</v>
      </c>
      <c r="V33" s="71" t="n">
        <f aca="false">V30+V31-V32</f>
        <v>2318906.72158419</v>
      </c>
      <c r="W33" s="71" t="n">
        <f aca="false">W30+W31-W32</f>
        <v>2373712.82601441</v>
      </c>
      <c r="X33" s="71" t="n">
        <f aca="false">X30+X31-X32</f>
        <v>2368792.4506077</v>
      </c>
      <c r="Y33" s="71" t="n">
        <f aca="false">Y30+Y31-Y32</f>
        <v>2435386.9001998</v>
      </c>
      <c r="Z33" s="71" t="n">
        <f aca="false">Z30+Z31-Z32</f>
        <v>2460724.61212631</v>
      </c>
      <c r="AA33" s="71" t="n">
        <f aca="false">AA30+AA31-AA32</f>
        <v>2502563.92188108</v>
      </c>
      <c r="AB33" s="71" t="n">
        <f aca="false">AB30+AB31-AB32</f>
        <v>2578906.76025592</v>
      </c>
    </row>
    <row r="34" customFormat="false" ht="15" hidden="false" customHeight="false" outlineLevel="0" collapsed="false">
      <c r="A34" s="68" t="s">
        <v>423</v>
      </c>
      <c r="B34" s="69"/>
      <c r="C34" s="70" t="n">
        <f aca="false">P34</f>
        <v>2379944.22093445</v>
      </c>
      <c r="D34" s="70" t="n">
        <f aca="false">AB34</f>
        <v>2628906.76025592</v>
      </c>
      <c r="E34" s="70" t="n">
        <f aca="false">E29+E33</f>
        <v>2275124.61611257</v>
      </c>
      <c r="F34" s="70" t="n">
        <f aca="false">F29+F33</f>
        <v>2246013.34367734</v>
      </c>
      <c r="G34" s="70" t="n">
        <f aca="false">G29+G33</f>
        <v>2339909.09808192</v>
      </c>
      <c r="H34" s="70" t="n">
        <f aca="false">H29+H33</f>
        <v>2360934.42859847</v>
      </c>
      <c r="I34" s="70" t="n">
        <f aca="false">I29+I33</f>
        <v>2373071.50515518</v>
      </c>
      <c r="J34" s="70" t="n">
        <f aca="false">J29+J33</f>
        <v>2023961.95003467</v>
      </c>
      <c r="K34" s="70" t="n">
        <f aca="false">K29+K33</f>
        <v>1982451.93424579</v>
      </c>
      <c r="L34" s="70" t="n">
        <f aca="false">L29+L33</f>
        <v>1965934.82073687</v>
      </c>
      <c r="M34" s="70" t="n">
        <f aca="false">M29+M33</f>
        <v>2081438.31851284</v>
      </c>
      <c r="N34" s="70" t="n">
        <f aca="false">N29+N33</f>
        <v>2154582.49082783</v>
      </c>
      <c r="O34" s="70" t="n">
        <f aca="false">O29+O33</f>
        <v>2254355.03009681</v>
      </c>
      <c r="P34" s="70" t="n">
        <f aca="false">P29+P33</f>
        <v>2379944.22093445</v>
      </c>
      <c r="Q34" s="70" t="n">
        <f aca="false">Q29+Q33</f>
        <v>2418913.40116889</v>
      </c>
      <c r="R34" s="70" t="n">
        <f aca="false">R29+R33</f>
        <v>2495394.45557297</v>
      </c>
      <c r="S34" s="70" t="n">
        <f aca="false">S29+S33</f>
        <v>2577819.09611575</v>
      </c>
      <c r="T34" s="70" t="n">
        <f aca="false">T29+T33</f>
        <v>2643525.92298073</v>
      </c>
      <c r="U34" s="70" t="n">
        <f aca="false">U29+U33</f>
        <v>2608457.70505186</v>
      </c>
      <c r="V34" s="70" t="n">
        <f aca="false">V29+V33</f>
        <v>2368906.72158419</v>
      </c>
      <c r="W34" s="70" t="n">
        <f aca="false">W29+W33</f>
        <v>2423712.82601441</v>
      </c>
      <c r="X34" s="70" t="n">
        <f aca="false">X29+X33</f>
        <v>2418792.4506077</v>
      </c>
      <c r="Y34" s="70" t="n">
        <f aca="false">Y29+Y33</f>
        <v>2485386.9001998</v>
      </c>
      <c r="Z34" s="70" t="n">
        <f aca="false">Z29+Z33</f>
        <v>2510724.61212631</v>
      </c>
      <c r="AA34" s="70" t="n">
        <f aca="false">AA29+AA33</f>
        <v>2552563.92188108</v>
      </c>
      <c r="AB34" s="70" t="n">
        <f aca="false">AB29+AB33</f>
        <v>2628906.76025592</v>
      </c>
    </row>
    <row r="35" customFormat="false" ht="15" hidden="false" customHeight="false" outlineLevel="0" collapsed="false">
      <c r="A35" s="68" t="s">
        <v>424</v>
      </c>
      <c r="B35" s="69"/>
      <c r="C35" s="70" t="n">
        <f aca="false">P35</f>
        <v>3075128.03824378</v>
      </c>
      <c r="D35" s="70" t="n">
        <f aca="false">AB35</f>
        <v>3379123.20837614</v>
      </c>
      <c r="E35" s="70" t="n">
        <f aca="false">E27+E34</f>
        <v>3168566.80921556</v>
      </c>
      <c r="F35" s="70" t="n">
        <f aca="false">F27+F34</f>
        <v>3113731.67779211</v>
      </c>
      <c r="G35" s="70" t="n">
        <f aca="false">G27+G34</f>
        <v>2939621.30270406</v>
      </c>
      <c r="H35" s="70" t="n">
        <f aca="false">H27+H34</f>
        <v>2899917.43760767</v>
      </c>
      <c r="I35" s="70" t="n">
        <f aca="false">I27+I34</f>
        <v>2906389.90422356</v>
      </c>
      <c r="J35" s="70" t="n">
        <f aca="false">J27+J34</f>
        <v>2626445.46989833</v>
      </c>
      <c r="K35" s="70" t="n">
        <f aca="false">K27+K34</f>
        <v>2495456.08253078</v>
      </c>
      <c r="L35" s="70" t="n">
        <f aca="false">L27+L34</f>
        <v>2448675.58562506</v>
      </c>
      <c r="M35" s="70" t="n">
        <f aca="false">M27+M34</f>
        <v>2608022.57864969</v>
      </c>
      <c r="N35" s="70" t="n">
        <f aca="false">N27+N34</f>
        <v>2728034.62722731</v>
      </c>
      <c r="O35" s="70" t="n">
        <f aca="false">O27+O34</f>
        <v>2864006.91502164</v>
      </c>
      <c r="P35" s="70" t="n">
        <f aca="false">P27+P34</f>
        <v>3075128.03824378</v>
      </c>
      <c r="Q35" s="70" t="n">
        <f aca="false">Q27+Q34</f>
        <v>3219790.73608936</v>
      </c>
      <c r="R35" s="70" t="n">
        <f aca="false">R27+R34</f>
        <v>3305174.71625162</v>
      </c>
      <c r="S35" s="70" t="n">
        <f aca="false">S27+S34</f>
        <v>3158642.17613164</v>
      </c>
      <c r="T35" s="70" t="n">
        <f aca="false">T27+T34</f>
        <v>3172279.47407445</v>
      </c>
      <c r="U35" s="70" t="n">
        <f aca="false">U27+U34</f>
        <v>3115850.09998627</v>
      </c>
      <c r="V35" s="70" t="n">
        <f aca="false">V27+V34</f>
        <v>2888939.96428412</v>
      </c>
      <c r="W35" s="70" t="n">
        <f aca="false">W27+W34</f>
        <v>3005556.5253692</v>
      </c>
      <c r="X35" s="70" t="n">
        <f aca="false">X27+X34</f>
        <v>3022969.1233968</v>
      </c>
      <c r="Y35" s="70" t="n">
        <f aca="false">Y27+Y34</f>
        <v>3115322.46293645</v>
      </c>
      <c r="Z35" s="70" t="n">
        <f aca="false">Z27+Z34</f>
        <v>3191998.68968965</v>
      </c>
      <c r="AA35" s="70" t="n">
        <f aca="false">AA27+AA34</f>
        <v>3265548.46915977</v>
      </c>
      <c r="AB35" s="70" t="n">
        <f aca="false">AB27+AB34</f>
        <v>3379123.20837614</v>
      </c>
    </row>
    <row r="36" customFormat="false" ht="15" hidden="false" customHeight="false" outlineLevel="0" collapsed="false">
      <c r="A36" s="68" t="s">
        <v>425</v>
      </c>
      <c r="B36" s="69"/>
      <c r="C36" s="70" t="n">
        <f aca="false">P36</f>
        <v>0</v>
      </c>
      <c r="D36" s="70" t="n">
        <f aca="false">AB36</f>
        <v>0</v>
      </c>
      <c r="E36" s="70" t="n">
        <f aca="false">ROUND(E14-E35,2)</f>
        <v>0</v>
      </c>
      <c r="F36" s="70" t="n">
        <f aca="false">ROUND(F14-F35,2)</f>
        <v>0</v>
      </c>
      <c r="G36" s="70" t="n">
        <f aca="false">ROUND(G14-G35,2)</f>
        <v>0</v>
      </c>
      <c r="H36" s="70" t="n">
        <f aca="false">ROUND(H14-H35,2)</f>
        <v>0</v>
      </c>
      <c r="I36" s="70" t="n">
        <f aca="false">ROUND(I14-I35,2)</f>
        <v>0</v>
      </c>
      <c r="J36" s="70" t="n">
        <f aca="false">ROUND(J14-J35,2)</f>
        <v>0</v>
      </c>
      <c r="K36" s="70" t="n">
        <f aca="false">ROUND(K14-K35,2)</f>
        <v>0</v>
      </c>
      <c r="L36" s="70" t="n">
        <f aca="false">ROUND(L14-L35,2)</f>
        <v>0</v>
      </c>
      <c r="M36" s="70" t="n">
        <f aca="false">ROUND(M14-M35,2)</f>
        <v>0</v>
      </c>
      <c r="N36" s="70" t="n">
        <f aca="false">ROUND(N14-N35,2)</f>
        <v>0</v>
      </c>
      <c r="O36" s="70" t="n">
        <f aca="false">ROUND(O14-O35,2)</f>
        <v>0</v>
      </c>
      <c r="P36" s="70" t="n">
        <f aca="false">ROUND(P14-P35,2)</f>
        <v>0</v>
      </c>
      <c r="Q36" s="70" t="n">
        <f aca="false">ROUND(Q14-Q35,2)</f>
        <v>0</v>
      </c>
      <c r="R36" s="70" t="n">
        <f aca="false">ROUND(R14-R35,2)</f>
        <v>0</v>
      </c>
      <c r="S36" s="70" t="n">
        <f aca="false">ROUND(S14-S35,2)</f>
        <v>0</v>
      </c>
      <c r="T36" s="70" t="n">
        <f aca="false">ROUND(T14-T35,2)</f>
        <v>0</v>
      </c>
      <c r="U36" s="70" t="n">
        <f aca="false">ROUND(U14-U35,2)</f>
        <v>0</v>
      </c>
      <c r="V36" s="70" t="n">
        <f aca="false">ROUND(V14-V35,2)</f>
        <v>0</v>
      </c>
      <c r="W36" s="70" t="n">
        <f aca="false">ROUND(W14-W35,2)</f>
        <v>0</v>
      </c>
      <c r="X36" s="70" t="n">
        <f aca="false">ROUND(X14-X35,2)</f>
        <v>0</v>
      </c>
      <c r="Y36" s="70" t="n">
        <f aca="false">ROUND(Y14-Y35,2)</f>
        <v>0</v>
      </c>
      <c r="Z36" s="70" t="n">
        <f aca="false">ROUND(Z14-Z35,2)</f>
        <v>0</v>
      </c>
      <c r="AA36" s="70" t="n">
        <f aca="false">ROUND(AA14-AA35,2)</f>
        <v>0</v>
      </c>
      <c r="AB36" s="70" t="n">
        <f aca="false">ROUND(AB14-AB35,2)</f>
        <v>0</v>
      </c>
    </row>
    <row r="37" customFormat="false" ht="15" hidden="false" customHeight="false" outlineLevel="0" collapsed="false">
      <c r="A37" s="23" t="s">
        <v>389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row>
    <row r="38" customFormat="false" ht="15" hidden="false" customHeight="false" outlineLevel="0" collapsed="false">
      <c r="A38" s="29" t="s">
        <v>426</v>
      </c>
      <c r="B38" s="60"/>
      <c r="C38" s="61" t="n">
        <f aca="false">P38</f>
        <v>1740736.47841218</v>
      </c>
      <c r="D38" s="61" t="n">
        <f aca="false">AB38</f>
        <v>1689906.55496782</v>
      </c>
      <c r="E38" s="71" t="n">
        <f aca="false">E10+E11-E21</f>
        <v>1117158.17636</v>
      </c>
      <c r="F38" s="71" t="n">
        <f aca="false">F10+F11-F21</f>
        <v>1130327.486781</v>
      </c>
      <c r="G38" s="71" t="n">
        <f aca="false">G10+G11-G21</f>
        <v>1319432.1823585</v>
      </c>
      <c r="H38" s="71" t="n">
        <f aca="false">H10+H11-H21</f>
        <v>1377427.029131</v>
      </c>
      <c r="I38" s="71" t="n">
        <f aca="false">I10+I11-I21</f>
        <v>1353169.302108</v>
      </c>
      <c r="J38" s="71" t="n">
        <f aca="false">J10+J11-J21</f>
        <v>1566915.37124</v>
      </c>
      <c r="K38" s="71" t="n">
        <f aca="false">K10+K11-K21</f>
        <v>1436258.766273</v>
      </c>
      <c r="L38" s="71" t="n">
        <f aca="false">L10+L11-L21</f>
        <v>1312816.3644845</v>
      </c>
      <c r="M38" s="71" t="n">
        <f aca="false">M10+M11-M21</f>
        <v>1489389.43882773</v>
      </c>
      <c r="N38" s="71" t="n">
        <f aca="false">N10+N11-N21</f>
        <v>1639731.27273487</v>
      </c>
      <c r="O38" s="71" t="n">
        <f aca="false">O10+O11-O21</f>
        <v>1658456.80356747</v>
      </c>
      <c r="P38" s="71" t="n">
        <f aca="false">P10+P11-P21</f>
        <v>1740736.47841218</v>
      </c>
      <c r="Q38" s="71" t="n">
        <f aca="false">Q10+Q11-Q21</f>
        <v>1705571.06633311</v>
      </c>
      <c r="R38" s="71" t="n">
        <f aca="false">R10+R11-R21</f>
        <v>1699865.78956246</v>
      </c>
      <c r="S38" s="71" t="n">
        <f aca="false">S10+S11-S21</f>
        <v>1696182.9330461</v>
      </c>
      <c r="T38" s="71" t="n">
        <f aca="false">T10+T11-T21</f>
        <v>1720486.02906146</v>
      </c>
      <c r="U38" s="71" t="n">
        <f aca="false">U10+U11-U21</f>
        <v>1588272.80965955</v>
      </c>
      <c r="V38" s="71" t="n">
        <f aca="false">V10+V11-V21</f>
        <v>1525353.23196701</v>
      </c>
      <c r="W38" s="71" t="n">
        <f aca="false">W10+W11-W21</f>
        <v>1642551.57018204</v>
      </c>
      <c r="X38" s="71" t="n">
        <f aca="false">X10+X11-X21</f>
        <v>1586739.69930343</v>
      </c>
      <c r="Y38" s="71" t="n">
        <f aca="false">Y10+Y11-Y21</f>
        <v>1586833.90365515</v>
      </c>
      <c r="Z38" s="71" t="n">
        <f aca="false">Z10+Z11-Z21</f>
        <v>1645558.583182</v>
      </c>
      <c r="AA38" s="71" t="n">
        <f aca="false">AA10+AA11-AA21</f>
        <v>1617933.83075751</v>
      </c>
      <c r="AB38" s="71" t="n">
        <f aca="false">AB10+AB11-AB21</f>
        <v>1689906.55496782</v>
      </c>
    </row>
    <row r="39" customFormat="false" ht="15" hidden="false" customHeight="false" outlineLevel="0" collapsed="false">
      <c r="A39" s="29" t="s">
        <v>427</v>
      </c>
      <c r="B39" s="60"/>
      <c r="C39" s="61" t="n">
        <f aca="false">P39</f>
        <v>1708055.47223837</v>
      </c>
      <c r="D39" s="61" t="n">
        <f aca="false">AB39</f>
        <v>1677657.24261586</v>
      </c>
      <c r="E39" s="71" t="n">
        <f aca="false">E38+E12-E16-E17-E18</f>
        <v>1109109.67517</v>
      </c>
      <c r="F39" s="71" t="n">
        <f aca="false">F38+F12-F16-F17-F18</f>
        <v>1100888.650971</v>
      </c>
      <c r="G39" s="71" t="n">
        <f aca="false">G38+G12-G16-G17-G18</f>
        <v>1300356.4597985</v>
      </c>
      <c r="H39" s="71" t="n">
        <f aca="false">H38+H12-H16-H17-H18</f>
        <v>1350171.537306</v>
      </c>
      <c r="I39" s="71" t="n">
        <f aca="false">I38+I12-I16-I17-I18</f>
        <v>1296660.193828</v>
      </c>
      <c r="J39" s="71" t="n">
        <f aca="false">J38+J12-J16-J17-J18</f>
        <v>1495795.566855</v>
      </c>
      <c r="K39" s="71" t="n">
        <f aca="false">K38+K12-K16-K17-K18</f>
        <v>1391733.040328</v>
      </c>
      <c r="L39" s="71" t="n">
        <f aca="false">L38+L12-L16-L17-L18</f>
        <v>1292604.0883945</v>
      </c>
      <c r="M39" s="71" t="n">
        <f aca="false">M38+M12-M16-M17-M18</f>
        <v>1423886.43300582</v>
      </c>
      <c r="N39" s="71" t="n">
        <f aca="false">N38+N12-N16-N17-N18</f>
        <v>1595233.9937864</v>
      </c>
      <c r="O39" s="71" t="n">
        <f aca="false">O38+O12-O16-O17-O18</f>
        <v>1641163.51584381</v>
      </c>
      <c r="P39" s="71" t="n">
        <f aca="false">P38+P12-P16-P17-P18</f>
        <v>1708055.47223837</v>
      </c>
      <c r="Q39" s="71" t="n">
        <f aca="false">Q38+Q12-Q16-Q17-Q18</f>
        <v>1655530.8353879</v>
      </c>
      <c r="R39" s="71" t="n">
        <f aca="false">R38+R12-R16-R17-R18</f>
        <v>1667625.5413733</v>
      </c>
      <c r="S39" s="71" t="n">
        <f aca="false">S38+S12-S16-S17-S18</f>
        <v>1681432.85919542</v>
      </c>
      <c r="T39" s="71" t="n">
        <f aca="false">T38+T12-T16-T17-T18</f>
        <v>1696257.94402359</v>
      </c>
      <c r="U39" s="71" t="n">
        <f aca="false">U38+U12-U16-U17-U18</f>
        <v>1579983.93851206</v>
      </c>
      <c r="V39" s="71" t="n">
        <f aca="false">V38+V12-V16-V17-V18</f>
        <v>1511715.31211596</v>
      </c>
      <c r="W39" s="71" t="n">
        <f aca="false">W38+W12-W16-W17-W18</f>
        <v>1630535.98227983</v>
      </c>
      <c r="X39" s="71" t="n">
        <f aca="false">X38+X12-X16-X17-X18</f>
        <v>1578761.00058233</v>
      </c>
      <c r="Y39" s="71" t="n">
        <f aca="false">Y38+Y12-Y16-Y17-Y18</f>
        <v>1571256.02824122</v>
      </c>
      <c r="Z39" s="71" t="n">
        <f aca="false">Z38+Z12-Z16-Z17-Z18</f>
        <v>1635918.66885157</v>
      </c>
      <c r="AA39" s="71" t="n">
        <f aca="false">AA38+AA12-AA16-AA17-AA18</f>
        <v>1607435.63429792</v>
      </c>
      <c r="AB39" s="71" t="n">
        <f aca="false">AB38+AB12-AB16-AB17-AB18</f>
        <v>1677657.24261586</v>
      </c>
    </row>
    <row r="40" customFormat="false" ht="15" hidden="false" customHeight="false" outlineLevel="0" collapsed="false">
      <c r="A40" s="29" t="s">
        <v>428</v>
      </c>
      <c r="B40" s="60"/>
      <c r="C40" s="61" t="n">
        <f aca="false">P40</f>
        <v>851006.938318941</v>
      </c>
      <c r="D40" s="61" t="n">
        <f aca="false">AB40</f>
        <v>1345401.20896387</v>
      </c>
      <c r="E40" s="71" t="n">
        <f aca="false">E9-E25-E26</f>
        <v>1414678.87396667</v>
      </c>
      <c r="F40" s="71" t="n">
        <f aca="false">F9-F25-F26</f>
        <v>1367177.87323333</v>
      </c>
      <c r="G40" s="71" t="n">
        <f aca="false">G9-G25-G26</f>
        <v>1023908.13812333</v>
      </c>
      <c r="H40" s="71" t="n">
        <f aca="false">H9-H25-H26</f>
        <v>924425.978476667</v>
      </c>
      <c r="I40" s="71" t="n">
        <f aca="false">I9-I25-I26</f>
        <v>989300.323226667</v>
      </c>
      <c r="J40" s="71" t="n">
        <f aca="false">J9-J25-J26</f>
        <v>479951.851991667</v>
      </c>
      <c r="K40" s="71" t="n">
        <f aca="false">K9-K25-K26</f>
        <v>512017.345146667</v>
      </c>
      <c r="L40" s="71" t="n">
        <f aca="false">L9-L25-L26</f>
        <v>577619.822251667</v>
      </c>
      <c r="M40" s="71" t="n">
        <f aca="false">M9-M25-M26</f>
        <v>592401.813171793</v>
      </c>
      <c r="N40" s="71" t="n">
        <f aca="false">N9-N25-N26</f>
        <v>578865.942306065</v>
      </c>
      <c r="O40" s="71" t="n">
        <f aca="false">O9-O25-O26</f>
        <v>708960.89405412</v>
      </c>
      <c r="P40" s="71" t="n">
        <f aca="false">P9-P25-P26</f>
        <v>851006.938318941</v>
      </c>
      <c r="Q40" s="71" t="n">
        <f aca="false">Q9-Q25-Q26</f>
        <v>1028449.80185743</v>
      </c>
      <c r="R40" s="71" t="n">
        <f aca="false">R9-R25-R26</f>
        <v>1125061.60972538</v>
      </c>
      <c r="S40" s="71" t="n">
        <f aca="false">S9-S25-S26</f>
        <v>1013873.46530775</v>
      </c>
      <c r="T40" s="71" t="n">
        <f aca="false">T9-T25-T26</f>
        <v>1011199.65840302</v>
      </c>
      <c r="U40" s="71" t="n">
        <f aca="false">U9-U25-U26</f>
        <v>1094449.97040334</v>
      </c>
      <c r="V40" s="71" t="n">
        <f aca="false">V9-V25-V26</f>
        <v>949637.121205995</v>
      </c>
      <c r="W40" s="71" t="n">
        <f aca="false">W9-W25-W26</f>
        <v>961269.510742714</v>
      </c>
      <c r="X40" s="71" t="n">
        <f aca="false">X9-X25-X26</f>
        <v>1046782.53520448</v>
      </c>
      <c r="Y40" s="71" t="n">
        <f aca="false">Y9-Y25-Y26</f>
        <v>1146737.94817019</v>
      </c>
      <c r="Z40" s="71" t="n">
        <f aca="false">Z9-Z25-Z26</f>
        <v>1177260.1620632</v>
      </c>
      <c r="AA40" s="71" t="n">
        <f aca="false">AA9-AA25-AA26</f>
        <v>1291079.74951337</v>
      </c>
      <c r="AB40" s="71" t="n">
        <f aca="false">AB9-AB25-AB26</f>
        <v>1345401.20896387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429</v>
      </c>
    </row>
    <row r="3" customFormat="false" ht="15" hidden="false" customHeight="false" outlineLevel="0" collapsed="false">
      <c r="A3" s="51" t="s">
        <v>430</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431</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432</v>
      </c>
      <c r="B9" s="60" t="s">
        <v>31</v>
      </c>
      <c r="C9" s="61" t="n">
        <f aca="false">SUM(E9:P9)</f>
        <v>528870.350934448</v>
      </c>
      <c r="D9" s="61" t="n">
        <f aca="false">SUM(Q9:AB9)</f>
        <v>566284.749882144</v>
      </c>
      <c r="E9" s="62" t="n">
        <f aca="false">PL!E51</f>
        <v>-25949.2538874337</v>
      </c>
      <c r="F9" s="62" t="n">
        <f aca="false">PL!F51</f>
        <v>-29111.2724352258</v>
      </c>
      <c r="G9" s="62" t="n">
        <f aca="false">PL!G51</f>
        <v>93895.7544045805</v>
      </c>
      <c r="H9" s="62" t="n">
        <f aca="false">PL!H51</f>
        <v>21025.3305165489</v>
      </c>
      <c r="I9" s="62" t="n">
        <f aca="false">PL!I51</f>
        <v>12137.0765567101</v>
      </c>
      <c r="J9" s="62" t="n">
        <f aca="false">PL!J51</f>
        <v>100890.444879485</v>
      </c>
      <c r="K9" s="62" t="n">
        <f aca="false">PL!K51</f>
        <v>-41510.0157888799</v>
      </c>
      <c r="L9" s="62" t="n">
        <f aca="false">PL!L51</f>
        <v>-16517.1135089129</v>
      </c>
      <c r="M9" s="62" t="n">
        <f aca="false">PL!M51</f>
        <v>115503.497775969</v>
      </c>
      <c r="N9" s="62" t="n">
        <f aca="false">PL!N51</f>
        <v>73144.1723149895</v>
      </c>
      <c r="O9" s="62" t="n">
        <f aca="false">PL!O51</f>
        <v>99772.5392689769</v>
      </c>
      <c r="P9" s="62" t="n">
        <f aca="false">PL!P51</f>
        <v>125589.190837641</v>
      </c>
      <c r="Q9" s="62" t="n">
        <f aca="false">PL!Q51</f>
        <v>38969.1802344451</v>
      </c>
      <c r="R9" s="62" t="n">
        <f aca="false">PL!R51</f>
        <v>76481.0544040737</v>
      </c>
      <c r="S9" s="62" t="n">
        <f aca="false">PL!S51</f>
        <v>82424.6405427795</v>
      </c>
      <c r="T9" s="62" t="n">
        <f aca="false">PL!T51</f>
        <v>65706.8268649776</v>
      </c>
      <c r="U9" s="62" t="n">
        <f aca="false">PL!U51</f>
        <v>-35068.2179288615</v>
      </c>
      <c r="V9" s="62" t="n">
        <f aca="false">PL!V51</f>
        <v>77771.227093</v>
      </c>
      <c r="W9" s="62" t="n">
        <f aca="false">PL!W51</f>
        <v>54806.1044302121</v>
      </c>
      <c r="X9" s="62" t="n">
        <f aca="false">PL!X51</f>
        <v>-4920.37540670364</v>
      </c>
      <c r="Y9" s="62" t="n">
        <f aca="false">PL!Y51</f>
        <v>66594.4495921016</v>
      </c>
      <c r="Z9" s="62" t="n">
        <f aca="false">PL!Z51</f>
        <v>25337.7119265029</v>
      </c>
      <c r="AA9" s="62" t="n">
        <f aca="false">PL!AA51</f>
        <v>41839.3097547746</v>
      </c>
      <c r="AB9" s="62" t="n">
        <f aca="false">PL!AB51</f>
        <v>76342.8383748418</v>
      </c>
    </row>
    <row r="10" customFormat="false" ht="15" hidden="false" customHeight="false" outlineLevel="0" collapsed="false">
      <c r="A10" s="29" t="s">
        <v>433</v>
      </c>
      <c r="B10" s="60"/>
      <c r="C10" s="61" t="n">
        <f aca="false">SUM(E10:P10)</f>
        <v>114080.555555556</v>
      </c>
      <c r="D10" s="61" t="n">
        <f aca="false">SUM(Q10:AB10)</f>
        <v>128659</v>
      </c>
      <c r="E10" s="62" t="n">
        <f aca="false">-PL!E45</f>
        <v>8986.11111111111</v>
      </c>
      <c r="F10" s="62" t="n">
        <f aca="false">-PL!F45</f>
        <v>9036.11111111111</v>
      </c>
      <c r="G10" s="62" t="n">
        <f aca="false">-PL!G45</f>
        <v>9180.55555555556</v>
      </c>
      <c r="H10" s="62" t="n">
        <f aca="false">-PL!H45</f>
        <v>9247.22222222222</v>
      </c>
      <c r="I10" s="62" t="n">
        <f aca="false">-PL!I45</f>
        <v>9361.11111111111</v>
      </c>
      <c r="J10" s="62" t="n">
        <f aca="false">-PL!J45</f>
        <v>9422.22222222222</v>
      </c>
      <c r="K10" s="62" t="n">
        <f aca="false">-PL!K45</f>
        <v>9530.55555555556</v>
      </c>
      <c r="L10" s="62" t="n">
        <f aca="false">-PL!L45</f>
        <v>9572.22222222222</v>
      </c>
      <c r="M10" s="62" t="n">
        <f aca="false">-PL!M45</f>
        <v>9777.77777777778</v>
      </c>
      <c r="N10" s="62" t="n">
        <f aca="false">-PL!N45</f>
        <v>9916.66666666667</v>
      </c>
      <c r="O10" s="62" t="n">
        <f aca="false">-PL!O45</f>
        <v>9988.88888888889</v>
      </c>
      <c r="P10" s="62" t="n">
        <f aca="false">-PL!P45</f>
        <v>10061.1111111111</v>
      </c>
      <c r="Q10" s="62" t="n">
        <f aca="false">-PL!Q45</f>
        <v>10235.5</v>
      </c>
      <c r="R10" s="62" t="n">
        <f aca="false">-PL!R45</f>
        <v>10309.8888888889</v>
      </c>
      <c r="S10" s="62" t="n">
        <f aca="false">-PL!S45</f>
        <v>10384.2777777778</v>
      </c>
      <c r="T10" s="62" t="n">
        <f aca="false">-PL!T45</f>
        <v>10502</v>
      </c>
      <c r="U10" s="62" t="n">
        <f aca="false">-PL!U45</f>
        <v>10576.3888888889</v>
      </c>
      <c r="V10" s="62" t="n">
        <f aca="false">-PL!V45</f>
        <v>10650.7777777778</v>
      </c>
      <c r="W10" s="62" t="n">
        <f aca="false">-PL!W45</f>
        <v>10725.1666666667</v>
      </c>
      <c r="X10" s="62" t="n">
        <f aca="false">-PL!X45</f>
        <v>10799.5555555556</v>
      </c>
      <c r="Y10" s="62" t="n">
        <f aca="false">-PL!Y45</f>
        <v>11007.2777777778</v>
      </c>
      <c r="Z10" s="62" t="n">
        <f aca="false">-PL!Z45</f>
        <v>11081.6666666667</v>
      </c>
      <c r="AA10" s="62" t="n">
        <f aca="false">-PL!AA45</f>
        <v>11156.0555555556</v>
      </c>
      <c r="AB10" s="62" t="n">
        <f aca="false">-PL!AB45</f>
        <v>11230.4444444444</v>
      </c>
    </row>
    <row r="11" customFormat="false" ht="15" hidden="false" customHeight="false" outlineLevel="0" collapsed="false">
      <c r="A11" s="29" t="s">
        <v>434</v>
      </c>
      <c r="B11" s="60"/>
      <c r="C11" s="61" t="n">
        <f aca="false">SUM(E11:P11)</f>
        <v>6037.437</v>
      </c>
      <c r="D11" s="61" t="n">
        <f aca="false">SUM(Q11:AB11)</f>
        <v>3937.269</v>
      </c>
      <c r="E11" s="62" t="n">
        <f aca="false">-PL!E47</f>
        <v>583.3345</v>
      </c>
      <c r="F11" s="62" t="n">
        <f aca="false">-PL!F47</f>
        <v>568.75</v>
      </c>
      <c r="G11" s="62" t="n">
        <f aca="false">-PL!G47</f>
        <v>554.1655</v>
      </c>
      <c r="H11" s="62" t="n">
        <f aca="false">-PL!H47</f>
        <v>539.581</v>
      </c>
      <c r="I11" s="62" t="n">
        <f aca="false">-PL!I47</f>
        <v>524.9965</v>
      </c>
      <c r="J11" s="62" t="n">
        <f aca="false">-PL!J47</f>
        <v>510.412</v>
      </c>
      <c r="K11" s="62" t="n">
        <f aca="false">-PL!K47</f>
        <v>495.8275</v>
      </c>
      <c r="L11" s="62" t="n">
        <f aca="false">-PL!L47</f>
        <v>481.243</v>
      </c>
      <c r="M11" s="62" t="n">
        <f aca="false">-PL!M47</f>
        <v>466.6585</v>
      </c>
      <c r="N11" s="62" t="n">
        <f aca="false">-PL!N47</f>
        <v>452.074</v>
      </c>
      <c r="O11" s="62" t="n">
        <f aca="false">-PL!O47</f>
        <v>437.4895</v>
      </c>
      <c r="P11" s="62" t="n">
        <f aca="false">-PL!P47</f>
        <v>422.905</v>
      </c>
      <c r="Q11" s="62" t="n">
        <f aca="false">-PL!Q47</f>
        <v>408.3205</v>
      </c>
      <c r="R11" s="62" t="n">
        <f aca="false">-PL!R47</f>
        <v>393.736</v>
      </c>
      <c r="S11" s="62" t="n">
        <f aca="false">-PL!S47</f>
        <v>379.1515</v>
      </c>
      <c r="T11" s="62" t="n">
        <f aca="false">-PL!T47</f>
        <v>364.567</v>
      </c>
      <c r="U11" s="62" t="n">
        <f aca="false">-PL!U47</f>
        <v>349.9825</v>
      </c>
      <c r="V11" s="62" t="n">
        <f aca="false">-PL!V47</f>
        <v>335.398</v>
      </c>
      <c r="W11" s="62" t="n">
        <f aca="false">-PL!W47</f>
        <v>320.8135</v>
      </c>
      <c r="X11" s="62" t="n">
        <f aca="false">-PL!X47</f>
        <v>306.229</v>
      </c>
      <c r="Y11" s="62" t="n">
        <f aca="false">-PL!Y47</f>
        <v>291.6445</v>
      </c>
      <c r="Z11" s="62" t="n">
        <f aca="false">-PL!Z47</f>
        <v>277.06</v>
      </c>
      <c r="AA11" s="62" t="n">
        <f aca="false">-PL!AA47</f>
        <v>262.4755</v>
      </c>
      <c r="AB11" s="62" t="n">
        <f aca="false">-PL!AB47</f>
        <v>247.891</v>
      </c>
    </row>
    <row r="12" customFormat="false" ht="15" hidden="false" customHeight="false" outlineLevel="0" collapsed="false">
      <c r="A12" s="29" t="s">
        <v>435</v>
      </c>
      <c r="B12" s="60"/>
      <c r="C12" s="61" t="n">
        <f aca="false">SUM(E12:P12)</f>
        <v>263894.140948354</v>
      </c>
      <c r="D12" s="61" t="n">
        <f aca="false">SUM(Q12:AB12)</f>
        <v>282979.347219152</v>
      </c>
      <c r="E12" s="62" t="n">
        <f aca="false">-(PL!E49+PL!E50)</f>
        <v>0</v>
      </c>
      <c r="F12" s="62" t="n">
        <f aca="false">-(PL!F49+PL!F50)</f>
        <v>0</v>
      </c>
      <c r="G12" s="62" t="n">
        <f aca="false">-(PL!G49+PL!G50)</f>
        <v>20003.1088176254</v>
      </c>
      <c r="H12" s="62" t="n">
        <f aca="false">-(PL!H49+PL!H50)</f>
        <v>10654.1501869929</v>
      </c>
      <c r="I12" s="62" t="n">
        <f aca="false">-(PL!I49+PL!I50)</f>
        <v>6334.28794416286</v>
      </c>
      <c r="J12" s="62" t="n">
        <f aca="false">-(PL!J49+PL!J50)</f>
        <v>49978.5605356364</v>
      </c>
      <c r="K12" s="62" t="n">
        <f aca="false">-(PL!K49+PL!K50)</f>
        <v>-20197.4843064277</v>
      </c>
      <c r="L12" s="62" t="n">
        <f aca="false">-(PL!L49+PL!L50)</f>
        <v>-7979.98124515333</v>
      </c>
      <c r="M12" s="62" t="n">
        <f aca="false">-(PL!M49+PL!M50)</f>
        <v>57179.7066641188</v>
      </c>
      <c r="N12" s="62" t="n">
        <f aca="false">-(PL!N49+PL!N50)</f>
        <v>36339.7401281131</v>
      </c>
      <c r="O12" s="62" t="n">
        <f aca="false">-(PL!O49+PL!O50)</f>
        <v>49440.3801923836</v>
      </c>
      <c r="P12" s="62" t="n">
        <f aca="false">-(PL!P49+PL!P50)</f>
        <v>62141.6720309021</v>
      </c>
      <c r="Q12" s="62" t="n">
        <f aca="false">-(PL!Q49+PL!Q50)</f>
        <v>19536.9336550664</v>
      </c>
      <c r="R12" s="62" t="n">
        <f aca="false">-(PL!R49+PL!R50)</f>
        <v>37992.0481756707</v>
      </c>
      <c r="S12" s="62" t="n">
        <f aca="false">-(PL!S49+PL!S50)</f>
        <v>40916.1772756159</v>
      </c>
      <c r="T12" s="62" t="n">
        <f aca="false">-(PL!T49+PL!T50)</f>
        <v>32691.3372006361</v>
      </c>
      <c r="U12" s="62" t="n">
        <f aca="false">-(PL!U49+PL!U50)</f>
        <v>-16888.0302305738</v>
      </c>
      <c r="V12" s="62" t="n">
        <f aca="false">-(PL!V49+PL!V50)</f>
        <v>38626.7881147583</v>
      </c>
      <c r="W12" s="62" t="n">
        <f aca="false">-(PL!W49+PL!W50)</f>
        <v>27328.3931903953</v>
      </c>
      <c r="X12" s="62" t="n">
        <f aca="false">-(PL!X49+PL!X50)</f>
        <v>-2055.87644962406</v>
      </c>
      <c r="Y12" s="62" t="n">
        <f aca="false">-(PL!Y49+PL!Y50)</f>
        <v>33128.0303662746</v>
      </c>
      <c r="Z12" s="62" t="n">
        <f aca="false">-(PL!Z49+PL!Z50)</f>
        <v>12830.515640081</v>
      </c>
      <c r="AA12" s="62" t="n">
        <f aca="false">-(PL!AA49+PL!AA50)</f>
        <v>20948.9817107601</v>
      </c>
      <c r="AB12" s="62" t="n">
        <f aca="false">-(PL!AB49+PL!AB50)</f>
        <v>37924.0485700919</v>
      </c>
    </row>
    <row r="13" customFormat="false" ht="15" hidden="false" customHeight="false" outlineLevel="0" collapsed="false">
      <c r="A13" s="68" t="s">
        <v>436</v>
      </c>
      <c r="B13" s="69"/>
      <c r="C13" s="70" t="n">
        <f aca="false">SUM(E13:P13)</f>
        <v>912882.484438358</v>
      </c>
      <c r="D13" s="70" t="n">
        <f aca="false">SUM(Q13:AB13)</f>
        <v>981860.366101296</v>
      </c>
      <c r="E13" s="70" t="n">
        <f aca="false">E9+E10+E11+E12</f>
        <v>-16379.8082763226</v>
      </c>
      <c r="F13" s="70" t="n">
        <f aca="false">F9+F10+F11+F12</f>
        <v>-19506.4113241147</v>
      </c>
      <c r="G13" s="70" t="n">
        <f aca="false">G9+G10+G11+G12</f>
        <v>123633.584277761</v>
      </c>
      <c r="H13" s="70" t="n">
        <f aca="false">H9+H10+H11+H12</f>
        <v>41466.283925764</v>
      </c>
      <c r="I13" s="70" t="n">
        <f aca="false">I9+I10+I11+I12</f>
        <v>28357.4721119841</v>
      </c>
      <c r="J13" s="70" t="n">
        <f aca="false">J9+J10+J11+J12</f>
        <v>160801.639637344</v>
      </c>
      <c r="K13" s="70" t="n">
        <f aca="false">K9+K10+K11+K12</f>
        <v>-51681.117039752</v>
      </c>
      <c r="L13" s="70" t="n">
        <f aca="false">L9+L10+L11+L12</f>
        <v>-14443.629531844</v>
      </c>
      <c r="M13" s="70" t="n">
        <f aca="false">M9+M10+M11+M12</f>
        <v>182927.640717865</v>
      </c>
      <c r="N13" s="70" t="n">
        <f aca="false">N9+N10+N11+N12</f>
        <v>119852.653109769</v>
      </c>
      <c r="O13" s="70" t="n">
        <f aca="false">O9+O10+O11+O12</f>
        <v>159639.297850249</v>
      </c>
      <c r="P13" s="70" t="n">
        <f aca="false">P9+P10+P11+P12</f>
        <v>198214.878979654</v>
      </c>
      <c r="Q13" s="70" t="n">
        <f aca="false">Q9+Q10+Q11+Q12</f>
        <v>69149.9343895115</v>
      </c>
      <c r="R13" s="70" t="n">
        <f aca="false">R9+R10+R11+R12</f>
        <v>125176.727468633</v>
      </c>
      <c r="S13" s="70" t="n">
        <f aca="false">S9+S10+S11+S12</f>
        <v>134104.247096173</v>
      </c>
      <c r="T13" s="70" t="n">
        <f aca="false">T9+T10+T11+T12</f>
        <v>109264.731065614</v>
      </c>
      <c r="U13" s="70" t="n">
        <f aca="false">U9+U10+U11+U12</f>
        <v>-41029.8767705465</v>
      </c>
      <c r="V13" s="70" t="n">
        <f aca="false">V9+V10+V11+V12</f>
        <v>127384.190985536</v>
      </c>
      <c r="W13" s="70" t="n">
        <f aca="false">W9+W10+W11+W12</f>
        <v>93180.4777872741</v>
      </c>
      <c r="X13" s="70" t="n">
        <f aca="false">X9+X10+X11+X12</f>
        <v>4129.53269922786</v>
      </c>
      <c r="Y13" s="70" t="n">
        <f aca="false">Y9+Y10+Y11+Y12</f>
        <v>111021.402236154</v>
      </c>
      <c r="Z13" s="70" t="n">
        <f aca="false">Z9+Z10+Z11+Z12</f>
        <v>49526.9542332506</v>
      </c>
      <c r="AA13" s="70" t="n">
        <f aca="false">AA9+AA10+AA11+AA12</f>
        <v>74206.8225210903</v>
      </c>
      <c r="AB13" s="70" t="n">
        <f aca="false">AB9+AB10+AB11+AB12</f>
        <v>125745.222389378</v>
      </c>
    </row>
    <row r="14" customFormat="false" ht="15" hidden="false" customHeight="false" outlineLevel="0" collapsed="false">
      <c r="A14" s="29" t="s">
        <v>437</v>
      </c>
      <c r="B14" s="60" t="s">
        <v>438</v>
      </c>
      <c r="C14" s="61" t="n">
        <f aca="false">SUM(E14:P14)</f>
        <v>-130477.954203549</v>
      </c>
      <c r="D14" s="61" t="n">
        <f aca="false">SUM(Q14:AB14)</f>
        <v>119790.451656076</v>
      </c>
      <c r="E14" s="62" t="n">
        <f aca="false">-(BS!E10-(SUM(Client_Register!$J$7:$J$20)-Inputs_Actuals!$C$211))</f>
        <v>207557.61364</v>
      </c>
      <c r="F14" s="62" t="n">
        <f aca="false">-(BS!F10-BS!E10)</f>
        <v>19431.2795789999</v>
      </c>
      <c r="G14" s="62" t="n">
        <f aca="false">-(BS!G10-BS!F10)</f>
        <v>-56547.6255775</v>
      </c>
      <c r="H14" s="62" t="n">
        <f aca="false">-(BS!H10-BS!G10)</f>
        <v>-160119.1267725</v>
      </c>
      <c r="I14" s="62" t="n">
        <f aca="false">-(BS!I10-BS!H10)</f>
        <v>75577.8870229999</v>
      </c>
      <c r="J14" s="62" t="n">
        <f aca="false">-(BS!J10-BS!I10)</f>
        <v>-165738.039132</v>
      </c>
      <c r="K14" s="62" t="n">
        <f aca="false">-(BS!K10-BS!J10)</f>
        <v>50012.0449669999</v>
      </c>
      <c r="L14" s="62" t="n">
        <f aca="false">-(BS!L10-BS!K10)</f>
        <v>6007.91178850015</v>
      </c>
      <c r="M14" s="62" t="n">
        <f aca="false">-(BS!M10-BS!L10)</f>
        <v>57798.8347601702</v>
      </c>
      <c r="N14" s="62" t="n">
        <f aca="false">-(BS!N10-BS!M10)</f>
        <v>-147243.219390324</v>
      </c>
      <c r="O14" s="62" t="n">
        <f aca="false">-(BS!O10-BS!N10)</f>
        <v>30298.2482515083</v>
      </c>
      <c r="P14" s="62" t="n">
        <f aca="false">-(BS!P10-BS!O10)</f>
        <v>-47513.7633404034</v>
      </c>
      <c r="Q14" s="62" t="n">
        <f aca="false">-(BS!Q10-BS!P10)</f>
        <v>3515.32703496562</v>
      </c>
      <c r="R14" s="62" t="n">
        <f aca="false">-(BS!R10-BS!Q10)</f>
        <v>-2187.97815548396</v>
      </c>
      <c r="S14" s="62" t="n">
        <f aca="false">-(BS!S10-BS!R10)</f>
        <v>40483.5435680579</v>
      </c>
      <c r="T14" s="62" t="n">
        <f aca="false">-(BS!T10-BS!S10)</f>
        <v>-2223.09094841871</v>
      </c>
      <c r="U14" s="62" t="n">
        <f aca="false">-(BS!U10-BS!T10)</f>
        <v>-61353.8795377812</v>
      </c>
      <c r="V14" s="62" t="n">
        <f aca="false">-(BS!V10-BS!U10)</f>
        <v>248532.237832603</v>
      </c>
      <c r="W14" s="62" t="n">
        <f aca="false">-(BS!W10-BS!V10)</f>
        <v>-154075.555825125</v>
      </c>
      <c r="X14" s="62" t="n">
        <f aca="false">-(BS!X10-BS!W10)</f>
        <v>-26050.9382705464</v>
      </c>
      <c r="Y14" s="62" t="n">
        <f aca="false">-(BS!Y10-BS!X10)</f>
        <v>128552.914486663</v>
      </c>
      <c r="Z14" s="62" t="n">
        <f aca="false">-(BS!Z10-BS!Y10)</f>
        <v>-99652.8055381009</v>
      </c>
      <c r="AA14" s="62" t="n">
        <f aca="false">-(BS!AA10-BS!Z10)</f>
        <v>61247.6990855503</v>
      </c>
      <c r="AB14" s="62" t="n">
        <f aca="false">-(BS!AB10-BS!AA10)</f>
        <v>-16997.0220763068</v>
      </c>
    </row>
    <row r="15" customFormat="false" ht="15" hidden="false" customHeight="false" outlineLevel="0" collapsed="false">
      <c r="A15" s="29" t="s">
        <v>439</v>
      </c>
      <c r="B15" s="60" t="s">
        <v>438</v>
      </c>
      <c r="C15" s="61" t="n">
        <f aca="false">SUM(E15:P15)</f>
        <v>-322823.421276847</v>
      </c>
      <c r="D15" s="61" t="n">
        <f aca="false">SUM(Q15:AB15)</f>
        <v>-65958.3511435011</v>
      </c>
      <c r="E15" s="62" t="n">
        <f aca="false">-(BS!E11-SUMPRODUCT((Engagement_Register!$X$7:$X$39&gt;0)*Engagement_Register!$X$7:$X$39))</f>
        <v>-78394.38</v>
      </c>
      <c r="F15" s="62" t="n">
        <f aca="false">-(BS!F11-BS!E11)</f>
        <v>-23500.2600000001</v>
      </c>
      <c r="G15" s="62" t="n">
        <f aca="false">-(BS!G11-BS!F11)</f>
        <v>-120759.29</v>
      </c>
      <c r="H15" s="62" t="n">
        <f aca="false">-(BS!H11-BS!G11)</f>
        <v>89326.61</v>
      </c>
      <c r="I15" s="62" t="n">
        <f aca="false">-(BS!I11-BS!H11)</f>
        <v>-26604.12</v>
      </c>
      <c r="J15" s="62" t="n">
        <f aca="false">-(BS!J11-BS!I11)</f>
        <v>-75055.22</v>
      </c>
      <c r="K15" s="62" t="n">
        <f aca="false">-(BS!K11-BS!J11)</f>
        <v>103245.28</v>
      </c>
      <c r="L15" s="62" t="n">
        <f aca="false">-(BS!L11-BS!K11)</f>
        <v>94135.84</v>
      </c>
      <c r="M15" s="62" t="n">
        <f aca="false">-(BS!M11-BS!L11)</f>
        <v>-208908.614642452</v>
      </c>
      <c r="N15" s="62" t="n">
        <f aca="false">-(BS!N11-BS!M11)</f>
        <v>4611.63328030158</v>
      </c>
      <c r="O15" s="62" t="n">
        <f aca="false">-(BS!O11-BS!N11)</f>
        <v>-47731.4731866627</v>
      </c>
      <c r="P15" s="62" t="n">
        <f aca="false">-(BS!P11-BS!O11)</f>
        <v>-33189.4267280335</v>
      </c>
      <c r="Q15" s="62" t="n">
        <f aca="false">-(BS!Q11-BS!P11)</f>
        <v>21140.3386579524</v>
      </c>
      <c r="R15" s="62" t="n">
        <f aca="false">-(BS!R11-BS!Q11)</f>
        <v>1616.91697228141</v>
      </c>
      <c r="S15" s="62" t="n">
        <f aca="false">-(BS!S11-BS!R11)</f>
        <v>-17012.4256434812</v>
      </c>
      <c r="T15" s="62" t="n">
        <f aca="false">-(BS!T11-BS!S11)</f>
        <v>-24519.013899126</v>
      </c>
      <c r="U15" s="62" t="n">
        <f aca="false">-(BS!U11-BS!T11)</f>
        <v>188968.176737399</v>
      </c>
      <c r="V15" s="62" t="n">
        <f aca="false">-(BS!V11-BS!U11)</f>
        <v>-178574.729105586</v>
      </c>
      <c r="W15" s="62" t="n">
        <f aca="false">-(BS!W11-BS!V11)</f>
        <v>36877.2176100959</v>
      </c>
      <c r="X15" s="62" t="n">
        <f aca="false">-(BS!X11-BS!W11)</f>
        <v>81862.8091491603</v>
      </c>
      <c r="Y15" s="62" t="n">
        <f aca="false">-(BS!Y11-BS!X11)</f>
        <v>-128647.118838378</v>
      </c>
      <c r="Z15" s="62" t="n">
        <f aca="false">-(BS!Z11-BS!Y11)</f>
        <v>40928.1260112438</v>
      </c>
      <c r="AA15" s="62" t="n">
        <f aca="false">-(BS!AA11-BS!Z11)</f>
        <v>-33622.9466610615</v>
      </c>
      <c r="AB15" s="62" t="n">
        <f aca="false">-(BS!AB11-BS!AA11)</f>
        <v>-54975.7021340005</v>
      </c>
    </row>
    <row r="16" customFormat="false" ht="15" hidden="false" customHeight="false" outlineLevel="0" collapsed="false">
      <c r="A16" s="29" t="s">
        <v>440</v>
      </c>
      <c r="B16" s="60" t="s">
        <v>438</v>
      </c>
      <c r="C16" s="61" t="n">
        <f aca="false">SUM(E16:P16)</f>
        <v>0</v>
      </c>
      <c r="D16" s="61" t="n">
        <f aca="false">SUM(Q16:AB16)</f>
        <v>0</v>
      </c>
      <c r="E16" s="62" t="n">
        <f aca="false">-(BS!E12-Inputs_Actuals!$C$199)</f>
        <v>-0</v>
      </c>
      <c r="F16" s="62" t="n">
        <f aca="false">-(BS!F12-BS!E12)</f>
        <v>-0</v>
      </c>
      <c r="G16" s="62" t="n">
        <f aca="false">-(BS!G12-BS!F12)</f>
        <v>-0</v>
      </c>
      <c r="H16" s="62" t="n">
        <f aca="false">-(BS!H12-BS!G12)</f>
        <v>-0</v>
      </c>
      <c r="I16" s="62" t="n">
        <f aca="false">-(BS!I12-BS!H12)</f>
        <v>-0</v>
      </c>
      <c r="J16" s="62" t="n">
        <f aca="false">-(BS!J12-BS!I12)</f>
        <v>-0</v>
      </c>
      <c r="K16" s="62" t="n">
        <f aca="false">-(BS!K12-BS!J12)</f>
        <v>-0</v>
      </c>
      <c r="L16" s="62" t="n">
        <f aca="false">-(BS!L12-BS!K12)</f>
        <v>-0</v>
      </c>
      <c r="M16" s="62" t="n">
        <f aca="false">-(BS!M12-BS!L12)</f>
        <v>-0</v>
      </c>
      <c r="N16" s="62" t="n">
        <f aca="false">-(BS!N12-BS!M12)</f>
        <v>-0</v>
      </c>
      <c r="O16" s="62" t="n">
        <f aca="false">-(BS!O12-BS!N12)</f>
        <v>-0</v>
      </c>
      <c r="P16" s="62" t="n">
        <f aca="false">-(BS!P12-BS!O12)</f>
        <v>-0</v>
      </c>
      <c r="Q16" s="62" t="n">
        <f aca="false">-(BS!Q12-BS!P12)</f>
        <v>-0</v>
      </c>
      <c r="R16" s="62" t="n">
        <f aca="false">-(BS!R12-BS!Q12)</f>
        <v>-0</v>
      </c>
      <c r="S16" s="62" t="n">
        <f aca="false">-(BS!S12-BS!R12)</f>
        <v>-0</v>
      </c>
      <c r="T16" s="62" t="n">
        <f aca="false">-(BS!T12-BS!S12)</f>
        <v>-0</v>
      </c>
      <c r="U16" s="62" t="n">
        <f aca="false">-(BS!U12-BS!T12)</f>
        <v>-0</v>
      </c>
      <c r="V16" s="62" t="n">
        <f aca="false">-(BS!V12-BS!U12)</f>
        <v>-0</v>
      </c>
      <c r="W16" s="62" t="n">
        <f aca="false">-(BS!W12-BS!V12)</f>
        <v>-0</v>
      </c>
      <c r="X16" s="62" t="n">
        <f aca="false">-(BS!X12-BS!W12)</f>
        <v>-0</v>
      </c>
      <c r="Y16" s="62" t="n">
        <f aca="false">-(BS!Y12-BS!X12)</f>
        <v>-0</v>
      </c>
      <c r="Z16" s="62" t="n">
        <f aca="false">-(BS!Z12-BS!Y12)</f>
        <v>-0</v>
      </c>
      <c r="AA16" s="62" t="n">
        <f aca="false">-(BS!AA12-BS!Z12)</f>
        <v>-0</v>
      </c>
      <c r="AB16" s="62" t="n">
        <f aca="false">-(BS!AB12-BS!AA12)</f>
        <v>-0</v>
      </c>
    </row>
    <row r="17" customFormat="false" ht="15" hidden="false" customHeight="false" outlineLevel="0" collapsed="false">
      <c r="A17" s="29" t="s">
        <v>441</v>
      </c>
      <c r="B17" s="60" t="s">
        <v>438</v>
      </c>
      <c r="C17" s="61" t="n">
        <f aca="false">SUM(E17:P17)</f>
        <v>-12421.6165660334</v>
      </c>
      <c r="D17" s="61" t="n">
        <f aca="false">SUM(Q17:AB17)</f>
        <v>-19078.3834339666</v>
      </c>
      <c r="E17" s="62" t="n">
        <f aca="false">(BS!E16-Inputs_Actuals!$C$204)</f>
        <v>-22815.11201</v>
      </c>
      <c r="F17" s="62" t="n">
        <f aca="false">(BS!F16-BS!E16)</f>
        <v>1450.87432</v>
      </c>
      <c r="G17" s="62" t="n">
        <f aca="false">(BS!G16-BS!F16)</f>
        <v>-7104.54075</v>
      </c>
      <c r="H17" s="62" t="n">
        <f aca="false">(BS!H16-BS!G16)</f>
        <v>16795.135565</v>
      </c>
      <c r="I17" s="62" t="n">
        <f aca="false">(BS!I16-BS!H16)</f>
        <v>24945.139955</v>
      </c>
      <c r="J17" s="62" t="n">
        <f aca="false">(BS!J16-BS!I16)</f>
        <v>8093.53040499999</v>
      </c>
      <c r="K17" s="62" t="n">
        <f aca="false">(BS!K16-BS!J16)</f>
        <v>-29089.73454</v>
      </c>
      <c r="L17" s="62" t="n">
        <f aca="false">(BS!L16-BS!K16)</f>
        <v>-8686.451355</v>
      </c>
      <c r="M17" s="62" t="n">
        <f aca="false">(BS!M16-BS!L16)</f>
        <v>29884.3464556479</v>
      </c>
      <c r="N17" s="62" t="n">
        <f aca="false">(BS!N16-BS!M16)</f>
        <v>-24784.4336602949</v>
      </c>
      <c r="O17" s="62" t="n">
        <f aca="false">(BS!O16-BS!N16)</f>
        <v>-14498.397814819</v>
      </c>
      <c r="P17" s="62" t="n">
        <f aca="false">(BS!P16-BS!O16)</f>
        <v>13388.0268634326</v>
      </c>
      <c r="Q17" s="62" t="n">
        <f aca="false">(BS!Q16-BS!P16)</f>
        <v>-1487.28286569119</v>
      </c>
      <c r="R17" s="62" t="n">
        <f aca="false">(BS!R16-BS!Q16)</f>
        <v>104.616995393561</v>
      </c>
      <c r="S17" s="62" t="n">
        <f aca="false">(BS!S16-BS!R16)</f>
        <v>-17646.9137749204</v>
      </c>
      <c r="T17" s="62" t="n">
        <f aca="false">(BS!T16-BS!S16)</f>
        <v>-48.8037887485734</v>
      </c>
      <c r="U17" s="62" t="n">
        <f aca="false">(BS!U16-BS!T16)</f>
        <v>0</v>
      </c>
      <c r="V17" s="62" t="n">
        <f aca="false">(BS!V16-BS!U16)</f>
        <v>0</v>
      </c>
      <c r="W17" s="62" t="n">
        <f aca="false">(BS!W16-BS!V16)</f>
        <v>0</v>
      </c>
      <c r="X17" s="62" t="n">
        <f aca="false">(BS!X16-BS!W16)</f>
        <v>0</v>
      </c>
      <c r="Y17" s="62" t="n">
        <f aca="false">(BS!Y16-BS!X16)</f>
        <v>0</v>
      </c>
      <c r="Z17" s="62" t="n">
        <f aca="false">(BS!Z16-BS!Y16)</f>
        <v>0</v>
      </c>
      <c r="AA17" s="62" t="n">
        <f aca="false">(BS!AA16-BS!Z16)</f>
        <v>0</v>
      </c>
      <c r="AB17" s="62" t="n">
        <f aca="false">(BS!AB16-BS!AA16)</f>
        <v>0</v>
      </c>
    </row>
    <row r="18" customFormat="false" ht="15" hidden="false" customHeight="false" outlineLevel="0" collapsed="false">
      <c r="A18" s="29" t="s">
        <v>442</v>
      </c>
      <c r="B18" s="60" t="s">
        <v>438</v>
      </c>
      <c r="C18" s="61" t="n">
        <f aca="false">SUM(E18:P18)</f>
        <v>13044.8727398458</v>
      </c>
      <c r="D18" s="61" t="n">
        <f aca="false">SUM(Q18:AB18)</f>
        <v>-2258.04288788923</v>
      </c>
      <c r="E18" s="62" t="n">
        <f aca="false">(BS!E17-Inputs_Actuals!$C$205)</f>
        <v>3179.9582</v>
      </c>
      <c r="F18" s="62" t="n">
        <f aca="false">(BS!F17-BS!E17)</f>
        <v>3664.39330000001</v>
      </c>
      <c r="G18" s="62" t="n">
        <f aca="false">(BS!G17-BS!F17)</f>
        <v>4880.85050000001</v>
      </c>
      <c r="H18" s="62" t="n">
        <f aca="false">(BS!H17-BS!G17)</f>
        <v>-4840.0953</v>
      </c>
      <c r="I18" s="62" t="n">
        <f aca="false">(BS!I17-BS!H17)</f>
        <v>537.729500000001</v>
      </c>
      <c r="J18" s="62" t="n">
        <f aca="false">(BS!J17-BS!I17)</f>
        <v>10831.6227</v>
      </c>
      <c r="K18" s="62" t="n">
        <f aca="false">(BS!K17-BS!J17)</f>
        <v>-7072.7649</v>
      </c>
      <c r="L18" s="62" t="n">
        <f aca="false">(BS!L17-BS!K17)</f>
        <v>-2942.5595</v>
      </c>
      <c r="M18" s="62" t="n">
        <f aca="false">(BS!M17-BS!L17)</f>
        <v>8757.93327626216</v>
      </c>
      <c r="N18" s="62" t="n">
        <f aca="false">(BS!N17-BS!M17)</f>
        <v>-4110.99321314281</v>
      </c>
      <c r="O18" s="62" t="n">
        <f aca="false">(BS!O17-BS!N17)</f>
        <v>-1840.89340998695</v>
      </c>
      <c r="P18" s="62" t="n">
        <f aca="false">(BS!P17-BS!O17)</f>
        <v>1999.69158671333</v>
      </c>
      <c r="Q18" s="62" t="n">
        <f aca="false">(BS!Q17-BS!P17)</f>
        <v>-981.128862906895</v>
      </c>
      <c r="R18" s="62" t="n">
        <f aca="false">(BS!R17-BS!Q17)</f>
        <v>1018.3042485587</v>
      </c>
      <c r="S18" s="62" t="n">
        <f aca="false">(BS!S17-BS!R17)</f>
        <v>156.739436442622</v>
      </c>
      <c r="T18" s="62" t="n">
        <f aca="false">(BS!T17-BS!S17)</f>
        <v>-383.885824074227</v>
      </c>
      <c r="U18" s="62" t="n">
        <f aca="false">(BS!U17-BS!T17)</f>
        <v>-6028.51309038075</v>
      </c>
      <c r="V18" s="62" t="n">
        <f aca="false">(BS!V17-BS!U17)</f>
        <v>5349.04870356853</v>
      </c>
      <c r="W18" s="62" t="n">
        <f aca="false">(BS!W17-BS!V17)</f>
        <v>-1622.33194884476</v>
      </c>
      <c r="X18" s="62" t="n">
        <f aca="false">(BS!X17-BS!W17)</f>
        <v>-4036.88918110778</v>
      </c>
      <c r="Y18" s="62" t="n">
        <f aca="false">(BS!Y17-BS!X17)</f>
        <v>4624.17669282814</v>
      </c>
      <c r="Z18" s="62" t="n">
        <f aca="false">(BS!Z17-BS!Y17)</f>
        <v>-2962.96108349799</v>
      </c>
      <c r="AA18" s="62" t="n">
        <f aca="false">(BS!AA17-BS!Z17)</f>
        <v>858.282129165476</v>
      </c>
      <c r="AB18" s="62" t="n">
        <f aca="false">(BS!AB17-BS!AA17)</f>
        <v>1751.1158923597</v>
      </c>
    </row>
    <row r="19" customFormat="false" ht="15" hidden="false" customHeight="false" outlineLevel="0" collapsed="false">
      <c r="A19" s="29" t="s">
        <v>443</v>
      </c>
      <c r="B19" s="60" t="s">
        <v>438</v>
      </c>
      <c r="C19" s="61" t="n">
        <f aca="false">SUM(E19:P19)</f>
        <v>-11642.25</v>
      </c>
      <c r="D19" s="61" t="n">
        <f aca="false">SUM(Q19:AB19)</f>
        <v>904.732499999998</v>
      </c>
      <c r="E19" s="62" t="n">
        <f aca="false">(BS!E18-Inputs_Actuals!$C$206)</f>
        <v>-16016.345</v>
      </c>
      <c r="F19" s="62" t="n">
        <f aca="false">(BS!F18-BS!E18)</f>
        <v>16275.067</v>
      </c>
      <c r="G19" s="62" t="n">
        <f aca="false">(BS!G18-BS!F18)</f>
        <v>-8139.42300000001</v>
      </c>
      <c r="H19" s="62" t="n">
        <f aca="false">(BS!H18-BS!G18)</f>
        <v>-3775.27099999999</v>
      </c>
      <c r="I19" s="62" t="n">
        <f aca="false">(BS!I18-BS!H18)</f>
        <v>3770.747</v>
      </c>
      <c r="J19" s="62" t="n">
        <f aca="false">(BS!J18-BS!I18)</f>
        <v>-4314.457</v>
      </c>
      <c r="K19" s="62" t="n">
        <f aca="false">(BS!K18-BS!J18)</f>
        <v>9568.421</v>
      </c>
      <c r="L19" s="62" t="n">
        <f aca="false">(BS!L18-BS!K18)</f>
        <v>-12684.439</v>
      </c>
      <c r="M19" s="62" t="n">
        <f aca="false">(BS!M18-BS!L18)</f>
        <v>6648.45000000001</v>
      </c>
      <c r="N19" s="62" t="n">
        <f aca="false">(BS!N18-BS!M18)</f>
        <v>7889.7</v>
      </c>
      <c r="O19" s="62" t="n">
        <f aca="false">(BS!O18-BS!N18)</f>
        <v>-10864.7</v>
      </c>
      <c r="P19" s="62" t="n">
        <f aca="false">(BS!P18-BS!O18)</f>
        <v>0</v>
      </c>
      <c r="Q19" s="62" t="n">
        <f aca="false">(BS!Q18-BS!P18)</f>
        <v>19827.6365</v>
      </c>
      <c r="R19" s="62" t="n">
        <f aca="false">(BS!R18-BS!Q18)</f>
        <v>-18922.904</v>
      </c>
      <c r="S19" s="62" t="n">
        <f aca="false">(BS!S18-BS!R18)</f>
        <v>0</v>
      </c>
      <c r="T19" s="62" t="n">
        <f aca="false">(BS!T18-BS!S18)</f>
        <v>9910.70080000001</v>
      </c>
      <c r="U19" s="62" t="n">
        <f aca="false">(BS!U18-BS!T18)</f>
        <v>-9910.70080000001</v>
      </c>
      <c r="V19" s="62" t="n">
        <f aca="false">(BS!V18-BS!U18)</f>
        <v>0</v>
      </c>
      <c r="W19" s="62" t="n">
        <f aca="false">(BS!W18-BS!V18)</f>
        <v>0</v>
      </c>
      <c r="X19" s="62" t="n">
        <f aca="false">(BS!X18-BS!W18)</f>
        <v>0</v>
      </c>
      <c r="Y19" s="62" t="n">
        <f aca="false">(BS!Y18-BS!X18)</f>
        <v>2975</v>
      </c>
      <c r="Z19" s="62" t="n">
        <f aca="false">(BS!Z18-BS!Y18)</f>
        <v>-2975</v>
      </c>
      <c r="AA19" s="62" t="n">
        <f aca="false">(BS!AA18-BS!Z18)</f>
        <v>0</v>
      </c>
      <c r="AB19" s="62" t="n">
        <f aca="false">(BS!AB18-BS!AA18)</f>
        <v>0</v>
      </c>
    </row>
    <row r="20" customFormat="false" ht="15" hidden="false" customHeight="false" outlineLevel="0" collapsed="false">
      <c r="A20" s="29" t="s">
        <v>444</v>
      </c>
      <c r="B20" s="60" t="s">
        <v>438</v>
      </c>
      <c r="C20" s="61" t="n">
        <f aca="false">SUM(E20:P20)</f>
        <v>5367.31821927644</v>
      </c>
      <c r="D20" s="61" t="n">
        <f aca="false">SUM(Q20:AB20)</f>
        <v>10874.1478300482</v>
      </c>
      <c r="E20" s="62" t="n">
        <f aca="false">(BS!E19-Inputs_Actuals!$C$207)</f>
        <v>-6.01153333333787</v>
      </c>
      <c r="F20" s="62" t="n">
        <f aca="false">(BS!F19-BS!E19)</f>
        <v>2754.25926666666</v>
      </c>
      <c r="G20" s="62" t="n">
        <f aca="false">(BS!G19-BS!F19)</f>
        <v>137927.2972</v>
      </c>
      <c r="H20" s="62" t="n">
        <f aca="false">(BS!H19-BS!G19)</f>
        <v>-138603.607466667</v>
      </c>
      <c r="I20" s="62" t="n">
        <f aca="false">(BS!I19-BS!H19)</f>
        <v>1117.05900000001</v>
      </c>
      <c r="J20" s="62" t="n">
        <f aca="false">(BS!J19-BS!I19)</f>
        <v>-9.38299999997253</v>
      </c>
      <c r="K20" s="62" t="n">
        <f aca="false">(BS!K19-BS!J19)</f>
        <v>34.2187999999733</v>
      </c>
      <c r="L20" s="62" t="n">
        <f aca="false">(BS!L19-BS!K19)</f>
        <v>-51.2423999999883</v>
      </c>
      <c r="M20" s="62" t="n">
        <f aca="false">(BS!M19-BS!L19)</f>
        <v>1648.51791111112</v>
      </c>
      <c r="N20" s="62" t="n">
        <f aca="false">(BS!N19-BS!M19)</f>
        <v>1166.10810185186</v>
      </c>
      <c r="O20" s="62" t="n">
        <f aca="false">(BS!O19-BS!N19)</f>
        <v>-578.720906635805</v>
      </c>
      <c r="P20" s="62" t="n">
        <f aca="false">(BS!P19-BS!O19)</f>
        <v>-31.1767537173873</v>
      </c>
      <c r="Q20" s="62" t="n">
        <f aca="false">(BS!Q19-BS!P19)</f>
        <v>6990.24726501765</v>
      </c>
      <c r="R20" s="62" t="n">
        <f aca="false">(BS!R19-BS!Q19)</f>
        <v>-27.2455943566747</v>
      </c>
      <c r="S20" s="62" t="n">
        <f aca="false">(BS!S19-BS!R19)</f>
        <v>120973.695069037</v>
      </c>
      <c r="T20" s="62" t="n">
        <f aca="false">(BS!T19-BS!S19)</f>
        <v>-119210.744564805</v>
      </c>
      <c r="U20" s="62" t="n">
        <f aca="false">(BS!U19-BS!T19)</f>
        <v>-14.2112048649578</v>
      </c>
      <c r="V20" s="62" t="n">
        <f aca="false">(BS!V19-BS!U19)</f>
        <v>-14.3948379038484</v>
      </c>
      <c r="W20" s="62" t="n">
        <f aca="false">(BS!W19-BS!V19)</f>
        <v>-14.645169609983</v>
      </c>
      <c r="X20" s="62" t="n">
        <f aca="false">(BS!X19-BS!W19)</f>
        <v>0.353976235666778</v>
      </c>
      <c r="Y20" s="62" t="n">
        <f aca="false">(BS!Y19-BS!X19)</f>
        <v>2275.23583551968</v>
      </c>
      <c r="Z20" s="62" t="n">
        <f aca="false">(BS!Z19-BS!Y19)</f>
        <v>-28.3213213820709</v>
      </c>
      <c r="AA20" s="62" t="n">
        <f aca="false">(BS!AA19-BS!Z19)</f>
        <v>-28.0877818462322</v>
      </c>
      <c r="AB20" s="62" t="n">
        <f aca="false">(BS!AB19-BS!AA19)</f>
        <v>-27.7338409930817</v>
      </c>
    </row>
    <row r="21" customFormat="false" ht="15" hidden="false" customHeight="false" outlineLevel="0" collapsed="false">
      <c r="A21" s="29" t="s">
        <v>445</v>
      </c>
      <c r="B21" s="60" t="s">
        <v>438</v>
      </c>
      <c r="C21" s="61" t="n">
        <f aca="false">SUM(E21:P21)</f>
        <v>27495.1851590441</v>
      </c>
      <c r="D21" s="61" t="n">
        <f aca="false">SUM(Q21:AB21)</f>
        <v>10149.5817596592</v>
      </c>
      <c r="E21" s="62" t="n">
        <f aca="false">(BS!E20-(Inputs_Actuals!$C$208+Inputs_Actuals!$C$209-Assumptions!$C$21))</f>
        <v>-10321.36319</v>
      </c>
      <c r="F21" s="62" t="n">
        <f aca="false">(BS!F20-BS!E20)</f>
        <v>-25346.85882</v>
      </c>
      <c r="G21" s="62" t="n">
        <f aca="false">(BS!G20-BS!F20)</f>
        <v>1391.64094000003</v>
      </c>
      <c r="H21" s="62" t="n">
        <f aca="false">(BS!H20-BS!G20)</f>
        <v>23837.925055</v>
      </c>
      <c r="I21" s="62" t="n">
        <f aca="false">(BS!I20-BS!H20)</f>
        <v>-2330.10960500005</v>
      </c>
      <c r="J21" s="62" t="n">
        <f aca="false">(BS!J20-BS!I20)</f>
        <v>-9136.33873999999</v>
      </c>
      <c r="K21" s="62" t="n">
        <f aca="false">(BS!K20-BS!J20)</f>
        <v>7596.344895</v>
      </c>
      <c r="L21" s="62" t="n">
        <f aca="false">(BS!L20-BS!K20)</f>
        <v>1137.20006000002</v>
      </c>
      <c r="M21" s="62" t="n">
        <f aca="false">(BS!M20-BS!L20)</f>
        <v>-22130.8427713937</v>
      </c>
      <c r="N21" s="62" t="n">
        <f aca="false">(BS!N20-BS!M20)</f>
        <v>8842.70907153841</v>
      </c>
      <c r="O21" s="62" t="n">
        <f aca="false">(BS!O20-BS!N20)</f>
        <v>31810.0140210969</v>
      </c>
      <c r="P21" s="62" t="n">
        <f aca="false">(BS!P20-BS!O20)</f>
        <v>22144.8642428025</v>
      </c>
      <c r="Q21" s="62" t="n">
        <f aca="false">(BS!Q20-BS!P20)</f>
        <v>19892.6298973266</v>
      </c>
      <c r="R21" s="62" t="n">
        <f aca="false">(BS!R20-BS!Q20)</f>
        <v>-14621.9763220793</v>
      </c>
      <c r="S21" s="62" t="n">
        <f aca="false">(BS!S20-BS!R20)</f>
        <v>-6766.17461420926</v>
      </c>
      <c r="T21" s="62" t="n">
        <f aca="false">(BS!T20-BS!S20)</f>
        <v>-9485.34309476121</v>
      </c>
      <c r="U21" s="62" t="n">
        <f aca="false">(BS!U20-BS!T20)</f>
        <v>9180.45148110356</v>
      </c>
      <c r="V21" s="62" t="n">
        <f aca="false">(BS!V20-BS!U20)</f>
        <v>-24629.444998763</v>
      </c>
      <c r="W21" s="62" t="n">
        <f aca="false">(BS!W20-BS!V20)</f>
        <v>4116.12773465368</v>
      </c>
      <c r="X21" s="62" t="n">
        <f aca="false">(BS!X20-BS!W20)</f>
        <v>30734.5872510759</v>
      </c>
      <c r="Y21" s="62" t="n">
        <f aca="false">(BS!Y20-BS!X20)</f>
        <v>-18257.8829016609</v>
      </c>
      <c r="Z21" s="62" t="n">
        <f aca="false">(BS!Z20-BS!Y20)</f>
        <v>11807.0221482751</v>
      </c>
      <c r="AA21" s="62" t="n">
        <f aca="false">(BS!AA20-BS!Z20)</f>
        <v>11584.5779296605</v>
      </c>
      <c r="AB21" s="62" t="n">
        <f aca="false">(BS!AB20-BS!AA20)</f>
        <v>-3404.99275096254</v>
      </c>
    </row>
    <row r="22" customFormat="false" ht="15" hidden="false" customHeight="false" outlineLevel="0" collapsed="false">
      <c r="A22" s="29" t="s">
        <v>446</v>
      </c>
      <c r="B22" s="60" t="s">
        <v>438</v>
      </c>
      <c r="C22" s="61" t="n">
        <f aca="false">SUM(E22:P22)</f>
        <v>1160.28706821496</v>
      </c>
      <c r="D22" s="61" t="n">
        <f aca="false">SUM(Q22:AB22)</f>
        <v>-3002.17706821481</v>
      </c>
      <c r="E22" s="62" t="n">
        <f aca="false">(BS!E21-SUMPRODUCT((Engagement_Register!$X$7:$X$39&lt;0)*(-Engagement_Register!$X$7:$X$39)))</f>
        <v>42273.98</v>
      </c>
      <c r="F22" s="62" t="n">
        <f aca="false">(BS!F21-BS!E21)</f>
        <v>-9100.33000000002</v>
      </c>
      <c r="G22" s="62" t="n">
        <f aca="false">(BS!G21-BS!F21)</f>
        <v>-11797.78</v>
      </c>
      <c r="H22" s="62" t="n">
        <f aca="false">(BS!H21-BS!G21)</f>
        <v>12797.67</v>
      </c>
      <c r="I22" s="62" t="n">
        <f aca="false">(BS!I21-BS!H21)</f>
        <v>-24716.04</v>
      </c>
      <c r="J22" s="62" t="n">
        <f aca="false">(BS!J21-BS!I21)</f>
        <v>27047.19</v>
      </c>
      <c r="K22" s="62" t="n">
        <f aca="false">(BS!K21-BS!J21)</f>
        <v>-22600.72</v>
      </c>
      <c r="L22" s="62" t="n">
        <f aca="false">(BS!L21-BS!K21)</f>
        <v>23298.65</v>
      </c>
      <c r="M22" s="62" t="n">
        <f aca="false">(BS!M21-BS!L21)</f>
        <v>-25463.2944609506</v>
      </c>
      <c r="N22" s="62" t="n">
        <f aca="false">(BS!N21-BS!M21)</f>
        <v>-7710.24779711372</v>
      </c>
      <c r="O22" s="62" t="n">
        <f aca="false">(BS!O21-BS!N21)</f>
        <v>-1292.30589745086</v>
      </c>
      <c r="P22" s="62" t="n">
        <f aca="false">(BS!P21-BS!O21)</f>
        <v>-1576.48477626982</v>
      </c>
      <c r="Q22" s="62" t="n">
        <f aca="false">(BS!Q21-BS!P21)</f>
        <v>10509.7463861522</v>
      </c>
      <c r="R22" s="62" t="n">
        <f aca="false">(BS!R21-BS!Q21)</f>
        <v>6276.33795385102</v>
      </c>
      <c r="S22" s="62" t="n">
        <f aca="false">(BS!S21-BS!R21)</f>
        <v>-19788.261408218</v>
      </c>
      <c r="T22" s="62" t="n">
        <f aca="false">(BS!T21-BS!S21)</f>
        <v>2439.00883218843</v>
      </c>
      <c r="U22" s="62" t="n">
        <f aca="false">(BS!U21-BS!T21)</f>
        <v>4598.92220229434</v>
      </c>
      <c r="V22" s="62" t="n">
        <f aca="false">(BS!V21-BS!U21)</f>
        <v>-7037.93103448277</v>
      </c>
      <c r="W22" s="62" t="n">
        <f aca="false">(BS!W21-BS!V21)</f>
        <v>0</v>
      </c>
      <c r="X22" s="62" t="n">
        <f aca="false">(BS!X21-BS!W21)</f>
        <v>0</v>
      </c>
      <c r="Y22" s="62" t="n">
        <f aca="false">(BS!Y21-BS!X21)</f>
        <v>0</v>
      </c>
      <c r="Z22" s="62" t="n">
        <f aca="false">(BS!Z21-BS!Y21)</f>
        <v>0</v>
      </c>
      <c r="AA22" s="62" t="n">
        <f aca="false">(BS!AA21-BS!Z21)</f>
        <v>0</v>
      </c>
      <c r="AB22" s="62" t="n">
        <f aca="false">(BS!AB21-BS!AA21)</f>
        <v>0</v>
      </c>
    </row>
    <row r="23" customFormat="false" ht="15" hidden="false" customHeight="false" outlineLevel="0" collapsed="false">
      <c r="A23" s="29" t="s">
        <v>447</v>
      </c>
      <c r="B23" s="60" t="s">
        <v>438</v>
      </c>
      <c r="C23" s="61" t="n">
        <f aca="false">SUM(E23:P23)</f>
        <v>-45473.5302593685</v>
      </c>
      <c r="D23" s="61" t="n">
        <f aca="false">SUM(Q23:AB23)</f>
        <v>88361.5658404483</v>
      </c>
      <c r="E23" s="62" t="n">
        <f aca="false">(BS!E22-Inputs_Actuals!$C$210)</f>
        <v>25950.6766363226</v>
      </c>
      <c r="F23" s="62" t="n">
        <f aca="false">(BS!F22-BS!E22)</f>
        <v>26745.7359451147</v>
      </c>
      <c r="G23" s="62" t="n">
        <f aca="false">(BS!G22-BS!F22)</f>
        <v>-365000.283200261</v>
      </c>
      <c r="H23" s="62" t="n">
        <f aca="false">(BS!H22-BS!G22)</f>
        <v>26571.897346736</v>
      </c>
      <c r="I23" s="62" t="n">
        <f aca="false">(BS!I22-BS!H22)</f>
        <v>26843.576265016</v>
      </c>
      <c r="J23" s="62" t="n">
        <f aca="false">(BS!J22-BS!I22)</f>
        <v>26841.395894656</v>
      </c>
      <c r="K23" s="62" t="n">
        <f aca="false">(BS!K22-BS!J22)</f>
        <v>26849.347472752</v>
      </c>
      <c r="L23" s="62" t="n">
        <f aca="false">(BS!L22-BS!K22)</f>
        <v>26837.440043344</v>
      </c>
      <c r="M23" s="62" t="n">
        <f aca="false">(BS!M22-BS!L22)</f>
        <v>33060.6781738667</v>
      </c>
      <c r="N23" s="62" t="n">
        <f aca="false">(BS!N22-BS!M22)</f>
        <v>33402.2936316861</v>
      </c>
      <c r="O23" s="62" t="n">
        <f aca="false">(BS!O22-BS!N22)</f>
        <v>33216.3723407562</v>
      </c>
      <c r="P23" s="62" t="n">
        <f aca="false">(BS!P22-BS!O22)</f>
        <v>33207.3391906426</v>
      </c>
      <c r="Q23" s="62" t="n">
        <f aca="false">(BS!Q22-BS!P22)</f>
        <v>35571.7356361648</v>
      </c>
      <c r="R23" s="62" t="n">
        <f aca="false">(BS!R22-BS!Q22)</f>
        <v>35562.9847656271</v>
      </c>
      <c r="S23" s="62" t="n">
        <f aca="false">(BS!S22-BS!R22)</f>
        <v>-310974.147873897</v>
      </c>
      <c r="T23" s="62" t="n">
        <f aca="false">(BS!T22-BS!S22)</f>
        <v>36185.2015174014</v>
      </c>
      <c r="U23" s="62" t="n">
        <f aca="false">(BS!U22-BS!T22)</f>
        <v>36180.1659475716</v>
      </c>
      <c r="V23" s="62" t="n">
        <f aca="false">(BS!V22-BS!U22)</f>
        <v>36175.0765909608</v>
      </c>
      <c r="W23" s="62" t="n">
        <f aca="false">(BS!W22-BS!V22)</f>
        <v>36169.9128482752</v>
      </c>
      <c r="X23" s="62" t="n">
        <f aca="false">(BS!X22-BS!W22)</f>
        <v>36170.0383021943</v>
      </c>
      <c r="Y23" s="62" t="n">
        <f aca="false">(BS!Y22-BS!X22)</f>
        <v>36842.6247272025</v>
      </c>
      <c r="Z23" s="62" t="n">
        <f aca="false">(BS!Z22-BS!Y22)</f>
        <v>36834.2594432212</v>
      </c>
      <c r="AA23" s="62" t="n">
        <f aca="false">(BS!AA22-BS!Z22)</f>
        <v>36825.9561920849</v>
      </c>
      <c r="AB23" s="62" t="n">
        <f aca="false">(BS!AB22-BS!AA22)</f>
        <v>36817.7577436419</v>
      </c>
    </row>
    <row r="24" customFormat="false" ht="15" hidden="false" customHeight="false" outlineLevel="0" collapsed="false">
      <c r="A24" s="68" t="s">
        <v>448</v>
      </c>
      <c r="B24" s="69"/>
      <c r="C24" s="70" t="n">
        <f aca="false">SUM(E24:P24)</f>
        <v>437111.375318941</v>
      </c>
      <c r="D24" s="70" t="n">
        <f aca="false">SUM(Q24:AB24)</f>
        <v>1121643.89115396</v>
      </c>
      <c r="E24" s="70" t="n">
        <f aca="false">E13+E14+E15+E16+E17+E18+E19+E20+E21+E22+E23</f>
        <v>135029.208466667</v>
      </c>
      <c r="F24" s="70" t="n">
        <f aca="false">F13+F14+F15+F16+F17+F18+F19+F20+F21+F22+F23</f>
        <v>-7132.25073333357</v>
      </c>
      <c r="G24" s="70" t="n">
        <f aca="false">G13+G14+G15+G16+G17+G18+G19+G20+G21+G22+G23</f>
        <v>-301515.56961</v>
      </c>
      <c r="H24" s="70" t="n">
        <f aca="false">H13+H14+H15+H16+H17+H18+H19+H20+H21+H22+H23</f>
        <v>-96542.5786466667</v>
      </c>
      <c r="I24" s="70" t="n">
        <f aca="false">I13+I14+I15+I16+I17+I18+I19+I20+I21+I22+I23</f>
        <v>107499.34125</v>
      </c>
      <c r="J24" s="70" t="n">
        <f aca="false">J13+J14+J15+J16+J17+J18+J19+J20+J21+J22+J23</f>
        <v>-20638.059235</v>
      </c>
      <c r="K24" s="70" t="n">
        <f aca="false">K13+K14+K15+K16+K17+K18+K19+K20+K21+K22+K23</f>
        <v>86861.3206549999</v>
      </c>
      <c r="L24" s="70" t="n">
        <f aca="false">L13+L14+L15+L16+L17+L18+L19+L20+L21+L22+L23</f>
        <v>112608.720105</v>
      </c>
      <c r="M24" s="70" t="n">
        <f aca="false">M13+M14+M15+M16+M17+M18+M19+M20+M21+M22+M23</f>
        <v>64223.6494201267</v>
      </c>
      <c r="N24" s="70" t="n">
        <f aca="false">N13+N14+N15+N16+N17+N18+N19+N20+N21+N22+N23</f>
        <v>-8083.79686572871</v>
      </c>
      <c r="O24" s="70" t="n">
        <f aca="false">O13+O14+O15+O16+O17+O18+O19+O20+O21+O22+O23</f>
        <v>178157.441248056</v>
      </c>
      <c r="P24" s="70" t="n">
        <f aca="false">P13+P14+P15+P16+P17+P18+P19+P20+P21+P22+P23</f>
        <v>186643.949264821</v>
      </c>
      <c r="Q24" s="70" t="n">
        <f aca="false">Q13+Q14+Q15+Q16+Q17+Q18+Q19+Q20+Q21+Q22+Q23</f>
        <v>184129.184038493</v>
      </c>
      <c r="R24" s="70" t="n">
        <f aca="false">R13+R14+R15+R16+R17+R18+R19+R20+R21+R22+R23</f>
        <v>133995.784332425</v>
      </c>
      <c r="S24" s="70" t="n">
        <f aca="false">S13+S14+S15+S16+S17+S18+S19+S20+S21+S22+S23</f>
        <v>-76469.6981450155</v>
      </c>
      <c r="T24" s="70" t="n">
        <f aca="false">T13+T14+T15+T16+T17+T18+T19+T20+T21+T22+T23</f>
        <v>1928.76009526994</v>
      </c>
      <c r="U24" s="70" t="n">
        <f aca="false">U13+U14+U15+U16+U17+U18+U19+U20+U21+U22+U23</f>
        <v>120590.534964795</v>
      </c>
      <c r="V24" s="70" t="n">
        <f aca="false">V13+V14+V15+V16+V17+V18+V19+V20+V21+V22+V23</f>
        <v>207184.054135933</v>
      </c>
      <c r="W24" s="70" t="n">
        <f aca="false">W13+W14+W15+W16+W17+W18+W19+W20+W21+W22+W23</f>
        <v>14631.2030367188</v>
      </c>
      <c r="X24" s="70" t="n">
        <f aca="false">X13+X14+X15+X16+X17+X18+X19+X20+X21+X22+X23</f>
        <v>122809.49392624</v>
      </c>
      <c r="Y24" s="70" t="n">
        <f aca="false">Y13+Y14+Y15+Y16+Y17+Y18+Y19+Y20+Y21+Y22+Y23</f>
        <v>139386.352238328</v>
      </c>
      <c r="Z24" s="70" t="n">
        <f aca="false">Z13+Z14+Z15+Z16+Z17+Z18+Z19+Z20+Z21+Z22+Z23</f>
        <v>33477.2738930097</v>
      </c>
      <c r="AA24" s="70" t="n">
        <f aca="false">AA13+AA14+AA15+AA16+AA17+AA18+AA19+AA20+AA21+AA22+AA23</f>
        <v>151072.303414644</v>
      </c>
      <c r="AB24" s="70" t="n">
        <f aca="false">AB13+AB14+AB15+AB16+AB17+AB18+AB19+AB20+AB21+AB22+AB23</f>
        <v>88908.6452231169</v>
      </c>
    </row>
    <row r="25" customFormat="false" ht="15" hidden="false" customHeight="false" outlineLevel="0" collapsed="false">
      <c r="A25" s="29" t="s">
        <v>449</v>
      </c>
      <c r="B25" s="60" t="s">
        <v>78</v>
      </c>
      <c r="C25" s="61" t="n">
        <f aca="false">SUM(E25:P25)</f>
        <v>-6037.437</v>
      </c>
      <c r="D25" s="61" t="n">
        <f aca="false">SUM(Q25:AB25)</f>
        <v>-3937.269</v>
      </c>
      <c r="E25" s="62" t="n">
        <f aca="false">-(Financing!E12+Financing!E13)</f>
        <v>-583.3345</v>
      </c>
      <c r="F25" s="62" t="n">
        <f aca="false">-(Financing!F12+Financing!F13)</f>
        <v>-568.75</v>
      </c>
      <c r="G25" s="62" t="n">
        <f aca="false">-(Financing!G12+Financing!G13)</f>
        <v>-554.1655</v>
      </c>
      <c r="H25" s="62" t="n">
        <f aca="false">-(Financing!H12+Financing!H13)</f>
        <v>-539.581</v>
      </c>
      <c r="I25" s="62" t="n">
        <f aca="false">-(Financing!I12+Financing!I13)</f>
        <v>-524.9965</v>
      </c>
      <c r="J25" s="62" t="n">
        <f aca="false">-(Financing!J12+Financing!J13)</f>
        <v>-510.412</v>
      </c>
      <c r="K25" s="62" t="n">
        <f aca="false">-(Financing!K12+Financing!K13)</f>
        <v>-495.8275</v>
      </c>
      <c r="L25" s="62" t="n">
        <f aca="false">-(Financing!L12+Financing!L13)</f>
        <v>-481.243</v>
      </c>
      <c r="M25" s="62" t="n">
        <f aca="false">-(Financing!M12+Financing!M13)</f>
        <v>-466.6585</v>
      </c>
      <c r="N25" s="62" t="n">
        <f aca="false">-(Financing!N12+Financing!N13)</f>
        <v>-452.074</v>
      </c>
      <c r="O25" s="62" t="n">
        <f aca="false">-(Financing!O12+Financing!O13)</f>
        <v>-437.4895</v>
      </c>
      <c r="P25" s="62" t="n">
        <f aca="false">-(Financing!P12+Financing!P13)</f>
        <v>-422.905</v>
      </c>
      <c r="Q25" s="62" t="n">
        <f aca="false">-(Financing!Q12+Financing!Q13)</f>
        <v>-408.3205</v>
      </c>
      <c r="R25" s="62" t="n">
        <f aca="false">-(Financing!R12+Financing!R13)</f>
        <v>-393.736</v>
      </c>
      <c r="S25" s="62" t="n">
        <f aca="false">-(Financing!S12+Financing!S13)</f>
        <v>-379.1515</v>
      </c>
      <c r="T25" s="62" t="n">
        <f aca="false">-(Financing!T12+Financing!T13)</f>
        <v>-364.567</v>
      </c>
      <c r="U25" s="62" t="n">
        <f aca="false">-(Financing!U12+Financing!U13)</f>
        <v>-349.9825</v>
      </c>
      <c r="V25" s="62" t="n">
        <f aca="false">-(Financing!V12+Financing!V13)</f>
        <v>-335.398</v>
      </c>
      <c r="W25" s="62" t="n">
        <f aca="false">-(Financing!W12+Financing!W13)</f>
        <v>-320.8135</v>
      </c>
      <c r="X25" s="62" t="n">
        <f aca="false">-(Financing!X12+Financing!X13)</f>
        <v>-306.229</v>
      </c>
      <c r="Y25" s="62" t="n">
        <f aca="false">-(Financing!Y12+Financing!Y13)</f>
        <v>-291.6445</v>
      </c>
      <c r="Z25" s="62" t="n">
        <f aca="false">-(Financing!Z12+Financing!Z13)</f>
        <v>-277.06</v>
      </c>
      <c r="AA25" s="62" t="n">
        <f aca="false">-(Financing!AA12+Financing!AA13)</f>
        <v>-262.4755</v>
      </c>
      <c r="AB25" s="62" t="n">
        <f aca="false">-(Financing!AB12+Financing!AB13)</f>
        <v>-247.891</v>
      </c>
    </row>
    <row r="26" customFormat="false" ht="15" hidden="false" customHeight="false" outlineLevel="0" collapsed="false">
      <c r="A26" s="29" t="s">
        <v>450</v>
      </c>
      <c r="B26" s="60" t="s">
        <v>72</v>
      </c>
      <c r="C26" s="61" t="n">
        <f aca="false">SUM(E26:P26)</f>
        <v>-371600</v>
      </c>
      <c r="D26" s="61" t="n">
        <f aca="false">SUM(Q26:AB26)</f>
        <v>-263894.140948354</v>
      </c>
      <c r="E26" s="62" t="n">
        <f aca="false">-Tax!E29</f>
        <v>-0</v>
      </c>
      <c r="F26" s="62" t="n">
        <f aca="false">-Tax!F29</f>
        <v>-38000</v>
      </c>
      <c r="G26" s="62" t="n">
        <f aca="false">-Tax!G29</f>
        <v>-36000</v>
      </c>
      <c r="H26" s="62" t="n">
        <f aca="false">-Tax!H29</f>
        <v>-0</v>
      </c>
      <c r="I26" s="62" t="n">
        <f aca="false">-Tax!I29</f>
        <v>-38000</v>
      </c>
      <c r="J26" s="62" t="n">
        <f aca="false">-Tax!J29</f>
        <v>-36000</v>
      </c>
      <c r="K26" s="62" t="n">
        <f aca="false">-Tax!K29</f>
        <v>-50400</v>
      </c>
      <c r="L26" s="62" t="n">
        <f aca="false">-Tax!L29</f>
        <v>-45025</v>
      </c>
      <c r="M26" s="62" t="n">
        <f aca="false">-Tax!M29</f>
        <v>-41575</v>
      </c>
      <c r="N26" s="62" t="n">
        <f aca="false">-Tax!N29</f>
        <v>-0</v>
      </c>
      <c r="O26" s="62" t="n">
        <f aca="false">-Tax!O29</f>
        <v>-45025</v>
      </c>
      <c r="P26" s="62" t="n">
        <f aca="false">-Tax!P29</f>
        <v>-41575</v>
      </c>
      <c r="Q26" s="62" t="n">
        <f aca="false">-Tax!Q29</f>
        <v>-0</v>
      </c>
      <c r="R26" s="62" t="n">
        <f aca="false">-Tax!R29</f>
        <v>-34312.2404644752</v>
      </c>
      <c r="S26" s="62" t="n">
        <f aca="false">-Tax!S29</f>
        <v>-31661.2947726134</v>
      </c>
      <c r="T26" s="62" t="n">
        <f aca="false">-Tax!T29</f>
        <v>-0</v>
      </c>
      <c r="U26" s="62" t="n">
        <f aca="false">-Tax!U29</f>
        <v>-34312.2404644752</v>
      </c>
      <c r="V26" s="62" t="n">
        <f aca="false">-Tax!V29</f>
        <v>-31661.2947726134</v>
      </c>
      <c r="W26" s="62" t="n">
        <f aca="false">-Tax!W29</f>
        <v>-0</v>
      </c>
      <c r="X26" s="62" t="n">
        <f aca="false">-Tax!X29</f>
        <v>-34312.2404644752</v>
      </c>
      <c r="Y26" s="62" t="n">
        <f aca="false">-Tax!Y29</f>
        <v>-31661.2947726134</v>
      </c>
      <c r="Z26" s="62" t="n">
        <f aca="false">-Tax!Z29</f>
        <v>-0</v>
      </c>
      <c r="AA26" s="62" t="n">
        <f aca="false">-Tax!AA29</f>
        <v>-34312.2404644752</v>
      </c>
      <c r="AB26" s="62" t="n">
        <f aca="false">-Tax!AB29</f>
        <v>-31661.2947726134</v>
      </c>
    </row>
    <row r="27" customFormat="false" ht="15" hidden="false" customHeight="false" outlineLevel="0" collapsed="false">
      <c r="A27" s="68" t="s">
        <v>451</v>
      </c>
      <c r="B27" s="69"/>
      <c r="C27" s="70" t="n">
        <f aca="false">SUM(E27:P27)</f>
        <v>59473.9383189414</v>
      </c>
      <c r="D27" s="70" t="n">
        <f aca="false">SUM(Q27:AB27)</f>
        <v>853812.481205602</v>
      </c>
      <c r="E27" s="70" t="n">
        <f aca="false">E24+E25+E26</f>
        <v>134445.873966667</v>
      </c>
      <c r="F27" s="70" t="n">
        <f aca="false">F24+F25+F26</f>
        <v>-45701.0007333336</v>
      </c>
      <c r="G27" s="70" t="n">
        <f aca="false">G24+G25+G26</f>
        <v>-338069.73511</v>
      </c>
      <c r="H27" s="70" t="n">
        <f aca="false">H24+H25+H26</f>
        <v>-97082.1596466667</v>
      </c>
      <c r="I27" s="70" t="n">
        <f aca="false">I24+I25+I26</f>
        <v>68974.34475</v>
      </c>
      <c r="J27" s="70" t="n">
        <f aca="false">J24+J25+J26</f>
        <v>-57148.471235</v>
      </c>
      <c r="K27" s="70" t="n">
        <f aca="false">K24+K25+K26</f>
        <v>35965.4931549999</v>
      </c>
      <c r="L27" s="70" t="n">
        <f aca="false">L24+L25+L26</f>
        <v>67102.4771050002</v>
      </c>
      <c r="M27" s="70" t="n">
        <f aca="false">M24+M25+M26</f>
        <v>22181.9909201267</v>
      </c>
      <c r="N27" s="70" t="n">
        <f aca="false">N24+N25+N26</f>
        <v>-8535.87086572871</v>
      </c>
      <c r="O27" s="70" t="n">
        <f aca="false">O24+O25+O26</f>
        <v>132694.951748056</v>
      </c>
      <c r="P27" s="70" t="n">
        <f aca="false">P24+P25+P26</f>
        <v>144646.044264821</v>
      </c>
      <c r="Q27" s="70" t="n">
        <f aca="false">Q24+Q25+Q26</f>
        <v>183720.863538493</v>
      </c>
      <c r="R27" s="70" t="n">
        <f aca="false">R24+R25+R26</f>
        <v>99289.8078679499</v>
      </c>
      <c r="S27" s="70" t="n">
        <f aca="false">S24+S25+S26</f>
        <v>-108510.144417629</v>
      </c>
      <c r="T27" s="70" t="n">
        <f aca="false">T24+T25+T26</f>
        <v>1564.19309526994</v>
      </c>
      <c r="U27" s="70" t="n">
        <f aca="false">U24+U25+U26</f>
        <v>85928.3120003198</v>
      </c>
      <c r="V27" s="70" t="n">
        <f aca="false">V24+V25+V26</f>
        <v>175187.361363319</v>
      </c>
      <c r="W27" s="70" t="n">
        <f aca="false">W24+W25+W26</f>
        <v>14310.3895367188</v>
      </c>
      <c r="X27" s="70" t="n">
        <f aca="false">X24+X25+X26</f>
        <v>88191.0244617647</v>
      </c>
      <c r="Y27" s="70" t="n">
        <f aca="false">Y24+Y25+Y26</f>
        <v>107433.412965714</v>
      </c>
      <c r="Z27" s="70" t="n">
        <f aca="false">Z24+Z25+Z26</f>
        <v>33200.2138930097</v>
      </c>
      <c r="AA27" s="70" t="n">
        <f aca="false">AA24+AA25+AA26</f>
        <v>116497.587450169</v>
      </c>
      <c r="AB27" s="70" t="n">
        <f aca="false">AB24+AB25+AB26</f>
        <v>56999.4594505035</v>
      </c>
    </row>
    <row r="28" customFormat="false" ht="15" hidden="false" customHeight="false" outlineLevel="0" collapsed="false">
      <c r="A28" s="23" t="s">
        <v>452</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row>
    <row r="29" customFormat="false" ht="15" hidden="false" customHeight="false" outlineLevel="0" collapsed="false">
      <c r="A29" s="29" t="s">
        <v>453</v>
      </c>
      <c r="B29" s="60" t="s">
        <v>76</v>
      </c>
      <c r="C29" s="61" t="n">
        <f aca="false">SUM(E29:P29)</f>
        <v>-41800</v>
      </c>
      <c r="D29" s="61" t="n">
        <f aca="false">SUM(Q29:AB29)</f>
        <v>-42096</v>
      </c>
      <c r="E29" s="62" t="n">
        <f aca="false">-Fixed_Assets!E25</f>
        <v>-3100</v>
      </c>
      <c r="F29" s="62" t="n">
        <f aca="false">-Fixed_Assets!F25</f>
        <v>-1800</v>
      </c>
      <c r="G29" s="62" t="n">
        <f aca="false">-Fixed_Assets!G25</f>
        <v>-5200</v>
      </c>
      <c r="H29" s="62" t="n">
        <f aca="false">-Fixed_Assets!H25</f>
        <v>-2400</v>
      </c>
      <c r="I29" s="62" t="n">
        <f aca="false">-Fixed_Assets!I25</f>
        <v>-4100</v>
      </c>
      <c r="J29" s="62" t="n">
        <f aca="false">-Fixed_Assets!J25</f>
        <v>-2200</v>
      </c>
      <c r="K29" s="62" t="n">
        <f aca="false">-Fixed_Assets!K25</f>
        <v>-3900</v>
      </c>
      <c r="L29" s="62" t="n">
        <f aca="false">-Fixed_Assets!L25</f>
        <v>-1500</v>
      </c>
      <c r="M29" s="62" t="n">
        <f aca="false">-Fixed_Assets!M25</f>
        <v>-7400</v>
      </c>
      <c r="N29" s="62" t="n">
        <f aca="false">-Fixed_Assets!N25</f>
        <v>-5000</v>
      </c>
      <c r="O29" s="62" t="n">
        <f aca="false">-Fixed_Assets!O25</f>
        <v>-2600</v>
      </c>
      <c r="P29" s="62" t="n">
        <f aca="false">-Fixed_Assets!P25</f>
        <v>-2600</v>
      </c>
      <c r="Q29" s="62" t="n">
        <f aca="false">-Fixed_Assets!Q25</f>
        <v>-6278</v>
      </c>
      <c r="R29" s="62" t="n">
        <f aca="false">-Fixed_Assets!R25</f>
        <v>-2678</v>
      </c>
      <c r="S29" s="62" t="n">
        <f aca="false">-Fixed_Assets!S25</f>
        <v>-2678</v>
      </c>
      <c r="T29" s="62" t="n">
        <f aca="false">-Fixed_Assets!T25</f>
        <v>-4238</v>
      </c>
      <c r="U29" s="62" t="n">
        <f aca="false">-Fixed_Assets!U25</f>
        <v>-2678</v>
      </c>
      <c r="V29" s="62" t="n">
        <f aca="false">-Fixed_Assets!V25</f>
        <v>-2678</v>
      </c>
      <c r="W29" s="62" t="n">
        <f aca="false">-Fixed_Assets!W25</f>
        <v>-2678</v>
      </c>
      <c r="X29" s="62" t="n">
        <f aca="false">-Fixed_Assets!X25</f>
        <v>-2678</v>
      </c>
      <c r="Y29" s="62" t="n">
        <f aca="false">-Fixed_Assets!Y25</f>
        <v>-7478</v>
      </c>
      <c r="Z29" s="62" t="n">
        <f aca="false">-Fixed_Assets!Z25</f>
        <v>-2678</v>
      </c>
      <c r="AA29" s="62" t="n">
        <f aca="false">-Fixed_Assets!AA25</f>
        <v>-2678</v>
      </c>
      <c r="AB29" s="62" t="n">
        <f aca="false">-Fixed_Assets!AB25</f>
        <v>-2678</v>
      </c>
    </row>
    <row r="30" customFormat="false" ht="15" hidden="false" customHeight="false" outlineLevel="0" collapsed="false">
      <c r="A30" s="23" t="s">
        <v>454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row>
    <row r="31" customFormat="false" ht="15" hidden="false" customHeight="false" outlineLevel="0" collapsed="false">
      <c r="A31" s="29" t="s">
        <v>455</v>
      </c>
      <c r="B31" s="60" t="s">
        <v>78</v>
      </c>
      <c r="C31" s="61" t="n">
        <f aca="false">SUM(E31:P31)</f>
        <v>-50004</v>
      </c>
      <c r="D31" s="61" t="n">
        <f aca="false">SUM(Q31:AB31)</f>
        <v>-50004</v>
      </c>
      <c r="E31" s="62" t="n">
        <f aca="false">Financing!E10</f>
        <v>-4167</v>
      </c>
      <c r="F31" s="62" t="n">
        <f aca="false">Financing!F10</f>
        <v>-4167</v>
      </c>
      <c r="G31" s="62" t="n">
        <f aca="false">Financing!G10</f>
        <v>-4167</v>
      </c>
      <c r="H31" s="62" t="n">
        <f aca="false">Financing!H10</f>
        <v>-4167</v>
      </c>
      <c r="I31" s="62" t="n">
        <f aca="false">Financing!I10</f>
        <v>-4167</v>
      </c>
      <c r="J31" s="62" t="n">
        <f aca="false">Financing!J10</f>
        <v>-4167</v>
      </c>
      <c r="K31" s="62" t="n">
        <f aca="false">Financing!K10</f>
        <v>-4167</v>
      </c>
      <c r="L31" s="62" t="n">
        <f aca="false">Financing!L10</f>
        <v>-4167</v>
      </c>
      <c r="M31" s="62" t="n">
        <f aca="false">Financing!M10</f>
        <v>-4167</v>
      </c>
      <c r="N31" s="62" t="n">
        <f aca="false">Financing!N10</f>
        <v>-4167</v>
      </c>
      <c r="O31" s="62" t="n">
        <f aca="false">Financing!O10</f>
        <v>-4167</v>
      </c>
      <c r="P31" s="62" t="n">
        <f aca="false">Financing!P10</f>
        <v>-4167</v>
      </c>
      <c r="Q31" s="62" t="n">
        <f aca="false">Financing!Q10</f>
        <v>-4167</v>
      </c>
      <c r="R31" s="62" t="n">
        <f aca="false">Financing!R10</f>
        <v>-4167</v>
      </c>
      <c r="S31" s="62" t="n">
        <f aca="false">Financing!S10</f>
        <v>-4167</v>
      </c>
      <c r="T31" s="62" t="n">
        <f aca="false">Financing!T10</f>
        <v>-4167</v>
      </c>
      <c r="U31" s="62" t="n">
        <f aca="false">Financing!U10</f>
        <v>-4167</v>
      </c>
      <c r="V31" s="62" t="n">
        <f aca="false">Financing!V10</f>
        <v>-4167</v>
      </c>
      <c r="W31" s="62" t="n">
        <f aca="false">Financing!W10</f>
        <v>-4167</v>
      </c>
      <c r="X31" s="62" t="n">
        <f aca="false">Financing!X10</f>
        <v>-4167</v>
      </c>
      <c r="Y31" s="62" t="n">
        <f aca="false">Financing!Y10</f>
        <v>-4167</v>
      </c>
      <c r="Z31" s="62" t="n">
        <f aca="false">Financing!Z10</f>
        <v>-4167</v>
      </c>
      <c r="AA31" s="62" t="n">
        <f aca="false">Financing!AA10</f>
        <v>-4167</v>
      </c>
      <c r="AB31" s="62" t="n">
        <f aca="false">Financing!AB10</f>
        <v>-4167</v>
      </c>
    </row>
    <row r="32" customFormat="false" ht="15" hidden="false" customHeight="false" outlineLevel="0" collapsed="false">
      <c r="A32" s="29" t="s">
        <v>456</v>
      </c>
      <c r="B32" s="60" t="s">
        <v>78</v>
      </c>
      <c r="C32" s="61" t="n">
        <f aca="false">SUM(E32:P32)</f>
        <v>-450000</v>
      </c>
      <c r="D32" s="61" t="n">
        <f aca="false">SUM(Q32:AB32)</f>
        <v>-317322.210560669</v>
      </c>
      <c r="E32" s="62" t="n">
        <f aca="false">-Financing!E17</f>
        <v>-0</v>
      </c>
      <c r="F32" s="62" t="n">
        <f aca="false">-Financing!F17</f>
        <v>-0</v>
      </c>
      <c r="G32" s="62" t="n">
        <f aca="false">-Financing!G17</f>
        <v>-0</v>
      </c>
      <c r="H32" s="62" t="n">
        <f aca="false">-Financing!H17</f>
        <v>-0</v>
      </c>
      <c r="I32" s="62" t="n">
        <f aca="false">-Financing!I17</f>
        <v>-0</v>
      </c>
      <c r="J32" s="62" t="n">
        <f aca="false">-Financing!J17</f>
        <v>-450000</v>
      </c>
      <c r="K32" s="62" t="n">
        <f aca="false">-Financing!K17</f>
        <v>-0</v>
      </c>
      <c r="L32" s="62" t="n">
        <f aca="false">-Financing!L17</f>
        <v>-0</v>
      </c>
      <c r="M32" s="62" t="n">
        <f aca="false">-Financing!M17</f>
        <v>-0</v>
      </c>
      <c r="N32" s="62" t="n">
        <f aca="false">-Financing!N17</f>
        <v>-0</v>
      </c>
      <c r="O32" s="62" t="n">
        <f aca="false">-Financing!O17</f>
        <v>-0</v>
      </c>
      <c r="P32" s="62" t="n">
        <f aca="false">-Financing!P17</f>
        <v>-0</v>
      </c>
      <c r="Q32" s="62" t="n">
        <f aca="false">-Financing!Q17</f>
        <v>-0</v>
      </c>
      <c r="R32" s="62" t="n">
        <f aca="false">-Financing!R17</f>
        <v>-0</v>
      </c>
      <c r="S32" s="62" t="n">
        <f aca="false">-Financing!S17</f>
        <v>-0</v>
      </c>
      <c r="T32" s="62" t="n">
        <f aca="false">-Financing!T17</f>
        <v>-0</v>
      </c>
      <c r="U32" s="62" t="n">
        <f aca="false">-Financing!U17</f>
        <v>-0</v>
      </c>
      <c r="V32" s="62" t="n">
        <f aca="false">-Financing!V17</f>
        <v>-317322.210560669</v>
      </c>
      <c r="W32" s="62" t="n">
        <f aca="false">-Financing!W17</f>
        <v>-0</v>
      </c>
      <c r="X32" s="62" t="n">
        <f aca="false">-Financing!X17</f>
        <v>-0</v>
      </c>
      <c r="Y32" s="62" t="n">
        <f aca="false">-Financing!Y17</f>
        <v>-0</v>
      </c>
      <c r="Z32" s="62" t="n">
        <f aca="false">-Financing!Z17</f>
        <v>-0</v>
      </c>
      <c r="AA32" s="62" t="n">
        <f aca="false">-Financing!AA17</f>
        <v>-0</v>
      </c>
      <c r="AB32" s="62" t="n">
        <f aca="false">-Financing!AB17</f>
        <v>-0</v>
      </c>
    </row>
    <row r="33" customFormat="false" ht="15" hidden="false" customHeight="false" outlineLevel="0" collapsed="false">
      <c r="A33" s="68" t="s">
        <v>457</v>
      </c>
      <c r="B33" s="69"/>
      <c r="C33" s="70" t="n">
        <f aca="false">SUM(E33:P33)</f>
        <v>-500004</v>
      </c>
      <c r="D33" s="70" t="n">
        <f aca="false">SUM(Q33:AB33)</f>
        <v>-367326.210560669</v>
      </c>
      <c r="E33" s="70" t="n">
        <f aca="false">E31+E32</f>
        <v>-4167</v>
      </c>
      <c r="F33" s="70" t="n">
        <f aca="false">F31+F32</f>
        <v>-4167</v>
      </c>
      <c r="G33" s="70" t="n">
        <f aca="false">G31+G32</f>
        <v>-4167</v>
      </c>
      <c r="H33" s="70" t="n">
        <f aca="false">H31+H32</f>
        <v>-4167</v>
      </c>
      <c r="I33" s="70" t="n">
        <f aca="false">I31+I32</f>
        <v>-4167</v>
      </c>
      <c r="J33" s="70" t="n">
        <f aca="false">J31+J32</f>
        <v>-454167</v>
      </c>
      <c r="K33" s="70" t="n">
        <f aca="false">K31+K32</f>
        <v>-4167</v>
      </c>
      <c r="L33" s="70" t="n">
        <f aca="false">L31+L32</f>
        <v>-4167</v>
      </c>
      <c r="M33" s="70" t="n">
        <f aca="false">M31+M32</f>
        <v>-4167</v>
      </c>
      <c r="N33" s="70" t="n">
        <f aca="false">N31+N32</f>
        <v>-4167</v>
      </c>
      <c r="O33" s="70" t="n">
        <f aca="false">O31+O32</f>
        <v>-4167</v>
      </c>
      <c r="P33" s="70" t="n">
        <f aca="false">P31+P32</f>
        <v>-4167</v>
      </c>
      <c r="Q33" s="70" t="n">
        <f aca="false">Q31+Q32</f>
        <v>-4167</v>
      </c>
      <c r="R33" s="70" t="n">
        <f aca="false">R31+R32</f>
        <v>-4167</v>
      </c>
      <c r="S33" s="70" t="n">
        <f aca="false">S31+S32</f>
        <v>-4167</v>
      </c>
      <c r="T33" s="70" t="n">
        <f aca="false">T31+T32</f>
        <v>-4167</v>
      </c>
      <c r="U33" s="70" t="n">
        <f aca="false">U31+U32</f>
        <v>-4167</v>
      </c>
      <c r="V33" s="70" t="n">
        <f aca="false">V31+V32</f>
        <v>-321489.210560669</v>
      </c>
      <c r="W33" s="70" t="n">
        <f aca="false">W31+W32</f>
        <v>-4167</v>
      </c>
      <c r="X33" s="70" t="n">
        <f aca="false">X31+X32</f>
        <v>-4167</v>
      </c>
      <c r="Y33" s="70" t="n">
        <f aca="false">Y31+Y32</f>
        <v>-4167</v>
      </c>
      <c r="Z33" s="70" t="n">
        <f aca="false">Z31+Z32</f>
        <v>-4167</v>
      </c>
      <c r="AA33" s="70" t="n">
        <f aca="false">AA31+AA32</f>
        <v>-4167</v>
      </c>
      <c r="AB33" s="70" t="n">
        <f aca="false">AB31+AB32</f>
        <v>-4167</v>
      </c>
    </row>
    <row r="34" customFormat="false" ht="15" hidden="false" customHeight="false" outlineLevel="0" collapsed="false">
      <c r="A34" s="23" t="s">
        <v>458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row>
    <row r="35" customFormat="false" ht="15" hidden="false" customHeight="false" outlineLevel="0" collapsed="false">
      <c r="A35" s="68" t="s">
        <v>459</v>
      </c>
      <c r="B35" s="69"/>
      <c r="C35" s="70" t="n">
        <f aca="false">SUM(E35:P35)</f>
        <v>-482330.061681059</v>
      </c>
      <c r="D35" s="70" t="n">
        <f aca="false">SUM(Q35:AB35)</f>
        <v>444390.270644933</v>
      </c>
      <c r="E35" s="70" t="n">
        <f aca="false">E27+E29+E33</f>
        <v>127178.873966667</v>
      </c>
      <c r="F35" s="70" t="n">
        <f aca="false">F27+F29+F33</f>
        <v>-51668.0007333336</v>
      </c>
      <c r="G35" s="70" t="n">
        <f aca="false">G27+G29+G33</f>
        <v>-347436.73511</v>
      </c>
      <c r="H35" s="70" t="n">
        <f aca="false">H27+H29+H33</f>
        <v>-103649.159646667</v>
      </c>
      <c r="I35" s="70" t="n">
        <f aca="false">I27+I29+I33</f>
        <v>60707.3447499999</v>
      </c>
      <c r="J35" s="70" t="n">
        <f aca="false">J27+J29+J33</f>
        <v>-513515.471235</v>
      </c>
      <c r="K35" s="70" t="n">
        <f aca="false">K27+K29+K33</f>
        <v>27898.4931549999</v>
      </c>
      <c r="L35" s="70" t="n">
        <f aca="false">L27+L29+L33</f>
        <v>61435.4771050002</v>
      </c>
      <c r="M35" s="70" t="n">
        <f aca="false">M27+M29+M33</f>
        <v>10614.9909201267</v>
      </c>
      <c r="N35" s="70" t="n">
        <f aca="false">N27+N29+N33</f>
        <v>-17702.8708657287</v>
      </c>
      <c r="O35" s="70" t="n">
        <f aca="false">O27+O29+O33</f>
        <v>125927.951748056</v>
      </c>
      <c r="P35" s="70" t="n">
        <f aca="false">P27+P29+P33</f>
        <v>137879.044264821</v>
      </c>
      <c r="Q35" s="70" t="n">
        <f aca="false">Q27+Q29+Q33</f>
        <v>173275.863538493</v>
      </c>
      <c r="R35" s="70" t="n">
        <f aca="false">R27+R29+R33</f>
        <v>92444.8078679499</v>
      </c>
      <c r="S35" s="70" t="n">
        <f aca="false">S27+S29+S33</f>
        <v>-115355.144417629</v>
      </c>
      <c r="T35" s="70" t="n">
        <f aca="false">T27+T29+T33</f>
        <v>-6840.80690473006</v>
      </c>
      <c r="U35" s="70" t="n">
        <f aca="false">U27+U29+U33</f>
        <v>79083.3120003198</v>
      </c>
      <c r="V35" s="70" t="n">
        <f aca="false">V27+V29+V33</f>
        <v>-148979.84919735</v>
      </c>
      <c r="W35" s="70" t="n">
        <f aca="false">W27+W29+W33</f>
        <v>7465.3895367188</v>
      </c>
      <c r="X35" s="70" t="n">
        <f aca="false">X27+X29+X33</f>
        <v>81346.0244617647</v>
      </c>
      <c r="Y35" s="70" t="n">
        <f aca="false">Y27+Y29+Y33</f>
        <v>95788.4129657143</v>
      </c>
      <c r="Z35" s="70" t="n">
        <f aca="false">Z27+Z29+Z33</f>
        <v>26355.2138930097</v>
      </c>
      <c r="AA35" s="70" t="n">
        <f aca="false">AA27+AA29+AA33</f>
        <v>109652.587450169</v>
      </c>
      <c r="AB35" s="70" t="n">
        <f aca="false">AB27+AB29+AB33</f>
        <v>50154.4594505035</v>
      </c>
    </row>
    <row r="36" customFormat="false" ht="15" hidden="false" customHeight="false" outlineLevel="0" collapsed="false">
      <c r="A36" s="29" t="s">
        <v>460</v>
      </c>
      <c r="B36" s="60"/>
      <c r="E36" s="62" t="n">
        <f aca="false">Inputs_Actuals!$C$198</f>
        <v>1450000</v>
      </c>
      <c r="F36" s="71" t="n">
        <f aca="false">E37</f>
        <v>1577178.87396667</v>
      </c>
      <c r="G36" s="71" t="n">
        <f aca="false">F37</f>
        <v>1525510.87323333</v>
      </c>
      <c r="H36" s="71" t="n">
        <f aca="false">G37</f>
        <v>1178074.13812333</v>
      </c>
      <c r="I36" s="71" t="n">
        <f aca="false">H37</f>
        <v>1074424.97847667</v>
      </c>
      <c r="J36" s="71" t="n">
        <f aca="false">I37</f>
        <v>1135132.32322667</v>
      </c>
      <c r="K36" s="71" t="n">
        <f aca="false">J37</f>
        <v>621616.851991667</v>
      </c>
      <c r="L36" s="71" t="n">
        <f aca="false">K37</f>
        <v>649515.345146667</v>
      </c>
      <c r="M36" s="71" t="n">
        <f aca="false">L37</f>
        <v>710950.822251667</v>
      </c>
      <c r="N36" s="71" t="n">
        <f aca="false">M37</f>
        <v>721565.813171793</v>
      </c>
      <c r="O36" s="71" t="n">
        <f aca="false">N37</f>
        <v>703862.942306065</v>
      </c>
      <c r="P36" s="71" t="n">
        <f aca="false">O37</f>
        <v>829790.89405412</v>
      </c>
      <c r="Q36" s="71" t="n">
        <f aca="false">P37</f>
        <v>967669.938318941</v>
      </c>
      <c r="R36" s="71" t="n">
        <f aca="false">Q37</f>
        <v>1140945.80185743</v>
      </c>
      <c r="S36" s="71" t="n">
        <f aca="false">R37</f>
        <v>1233390.60972538</v>
      </c>
      <c r="T36" s="71" t="n">
        <f aca="false">S37</f>
        <v>1118035.46530776</v>
      </c>
      <c r="U36" s="71" t="n">
        <f aca="false">T37</f>
        <v>1111194.65840302</v>
      </c>
      <c r="V36" s="71" t="n">
        <f aca="false">U37</f>
        <v>1190277.97040334</v>
      </c>
      <c r="W36" s="71" t="n">
        <f aca="false">V37</f>
        <v>1041298.12120599</v>
      </c>
      <c r="X36" s="71" t="n">
        <f aca="false">W37</f>
        <v>1048763.51074271</v>
      </c>
      <c r="Y36" s="71" t="n">
        <f aca="false">X37</f>
        <v>1130109.53520448</v>
      </c>
      <c r="Z36" s="71" t="n">
        <f aca="false">Y37</f>
        <v>1225897.94817019</v>
      </c>
      <c r="AA36" s="71" t="n">
        <f aca="false">Z37</f>
        <v>1252253.1620632</v>
      </c>
      <c r="AB36" s="71" t="n">
        <f aca="false">AA37</f>
        <v>1361905.74951337</v>
      </c>
    </row>
    <row r="37" customFormat="false" ht="15" hidden="false" customHeight="false" outlineLevel="0" collapsed="false">
      <c r="A37" s="68" t="s">
        <v>461</v>
      </c>
      <c r="B37" s="69"/>
      <c r="C37" s="70" t="n">
        <f aca="false">P37</f>
        <v>967669.938318941</v>
      </c>
      <c r="D37" s="70" t="n">
        <f aca="false">AB37</f>
        <v>1412060.20896387</v>
      </c>
      <c r="E37" s="70" t="n">
        <f aca="false">E36+E35</f>
        <v>1577178.87396667</v>
      </c>
      <c r="F37" s="70" t="n">
        <f aca="false">F36+F35</f>
        <v>1525510.87323333</v>
      </c>
      <c r="G37" s="70" t="n">
        <f aca="false">G36+G35</f>
        <v>1178074.13812333</v>
      </c>
      <c r="H37" s="70" t="n">
        <f aca="false">H36+H35</f>
        <v>1074424.97847667</v>
      </c>
      <c r="I37" s="70" t="n">
        <f aca="false">I36+I35</f>
        <v>1135132.32322667</v>
      </c>
      <c r="J37" s="70" t="n">
        <f aca="false">J36+J35</f>
        <v>621616.851991667</v>
      </c>
      <c r="K37" s="70" t="n">
        <f aca="false">K36+K35</f>
        <v>649515.345146667</v>
      </c>
      <c r="L37" s="70" t="n">
        <f aca="false">L36+L35</f>
        <v>710950.822251667</v>
      </c>
      <c r="M37" s="70" t="n">
        <f aca="false">M36+M35</f>
        <v>721565.813171793</v>
      </c>
      <c r="N37" s="70" t="n">
        <f aca="false">N36+N35</f>
        <v>703862.942306065</v>
      </c>
      <c r="O37" s="70" t="n">
        <f aca="false">O36+O35</f>
        <v>829790.89405412</v>
      </c>
      <c r="P37" s="70" t="n">
        <f aca="false">P36+P35</f>
        <v>967669.938318941</v>
      </c>
      <c r="Q37" s="70" t="n">
        <f aca="false">Q36+Q35</f>
        <v>1140945.80185743</v>
      </c>
      <c r="R37" s="70" t="n">
        <f aca="false">R36+R35</f>
        <v>1233390.60972538</v>
      </c>
      <c r="S37" s="70" t="n">
        <f aca="false">S36+S35</f>
        <v>1118035.46530776</v>
      </c>
      <c r="T37" s="70" t="n">
        <f aca="false">T36+T35</f>
        <v>1111194.65840302</v>
      </c>
      <c r="U37" s="70" t="n">
        <f aca="false">U36+U35</f>
        <v>1190277.97040334</v>
      </c>
      <c r="V37" s="70" t="n">
        <f aca="false">V36+V35</f>
        <v>1041298.12120599</v>
      </c>
      <c r="W37" s="70" t="n">
        <f aca="false">W36+W35</f>
        <v>1048763.51074271</v>
      </c>
      <c r="X37" s="70" t="n">
        <f aca="false">X36+X35</f>
        <v>1130109.53520448</v>
      </c>
      <c r="Y37" s="70" t="n">
        <f aca="false">Y36+Y35</f>
        <v>1225897.94817019</v>
      </c>
      <c r="Z37" s="70" t="n">
        <f aca="false">Z36+Z35</f>
        <v>1252253.1620632</v>
      </c>
      <c r="AA37" s="70" t="n">
        <f aca="false">AA36+AA35</f>
        <v>1361905.74951337</v>
      </c>
      <c r="AB37" s="70" t="n">
        <f aca="false">AB36+AB35</f>
        <v>1412060.20896387</v>
      </c>
    </row>
    <row r="38" customFormat="false" ht="15" hidden="false" customHeight="false" outlineLevel="0" collapsed="false">
      <c r="A38" s="29" t="s">
        <v>462</v>
      </c>
      <c r="B38" s="60" t="s">
        <v>463</v>
      </c>
      <c r="C38" s="61" t="n">
        <f aca="false">SUM(E38:P38)</f>
        <v>17673.9383189414</v>
      </c>
      <c r="D38" s="61" t="n">
        <f aca="false">SUM(Q38:AB38)</f>
        <v>811716.481205602</v>
      </c>
      <c r="E38" s="71" t="n">
        <f aca="false">E27+E29</f>
        <v>131345.873966667</v>
      </c>
      <c r="F38" s="71" t="n">
        <f aca="false">F27+F29</f>
        <v>-47501.0007333336</v>
      </c>
      <c r="G38" s="71" t="n">
        <f aca="false">G27+G29</f>
        <v>-343269.73511</v>
      </c>
      <c r="H38" s="71" t="n">
        <f aca="false">H27+H29</f>
        <v>-99482.1596466667</v>
      </c>
      <c r="I38" s="71" t="n">
        <f aca="false">I27+I29</f>
        <v>64874.3447499999</v>
      </c>
      <c r="J38" s="71" t="n">
        <f aca="false">J27+J29</f>
        <v>-59348.471235</v>
      </c>
      <c r="K38" s="71" t="n">
        <f aca="false">K27+K29</f>
        <v>32065.4931549999</v>
      </c>
      <c r="L38" s="71" t="n">
        <f aca="false">L27+L29</f>
        <v>65602.4771050002</v>
      </c>
      <c r="M38" s="71" t="n">
        <f aca="false">M27+M29</f>
        <v>14781.9909201267</v>
      </c>
      <c r="N38" s="71" t="n">
        <f aca="false">N27+N29</f>
        <v>-13535.8708657287</v>
      </c>
      <c r="O38" s="71" t="n">
        <f aca="false">O27+O29</f>
        <v>130094.951748056</v>
      </c>
      <c r="P38" s="71" t="n">
        <f aca="false">P27+P29</f>
        <v>142046.044264821</v>
      </c>
      <c r="Q38" s="71" t="n">
        <f aca="false">Q27+Q29</f>
        <v>177442.863538493</v>
      </c>
      <c r="R38" s="71" t="n">
        <f aca="false">R27+R29</f>
        <v>96611.8078679499</v>
      </c>
      <c r="S38" s="71" t="n">
        <f aca="false">S27+S29</f>
        <v>-111188.144417629</v>
      </c>
      <c r="T38" s="71" t="n">
        <f aca="false">T27+T29</f>
        <v>-2673.80690473006</v>
      </c>
      <c r="U38" s="71" t="n">
        <f aca="false">U27+U29</f>
        <v>83250.3120003198</v>
      </c>
      <c r="V38" s="71" t="n">
        <f aca="false">V27+V29</f>
        <v>172509.361363319</v>
      </c>
      <c r="W38" s="71" t="n">
        <f aca="false">W27+W29</f>
        <v>11632.3895367188</v>
      </c>
      <c r="X38" s="71" t="n">
        <f aca="false">X27+X29</f>
        <v>85513.0244617647</v>
      </c>
      <c r="Y38" s="71" t="n">
        <f aca="false">Y27+Y29</f>
        <v>99955.4129657143</v>
      </c>
      <c r="Z38" s="71" t="n">
        <f aca="false">Z27+Z29</f>
        <v>30522.2138930097</v>
      </c>
      <c r="AA38" s="71" t="n">
        <f aca="false">AA27+AA29</f>
        <v>113819.587450169</v>
      </c>
      <c r="AB38" s="71" t="n">
        <f aca="false">AB27+AB29</f>
        <v>54321.4594505035</v>
      </c>
    </row>
    <row r="39" customFormat="false" ht="15" hidden="false" customHeight="false" outlineLevel="0" collapsed="false">
      <c r="A39" s="23" t="s">
        <v>464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row>
    <row r="40" customFormat="false" ht="15" hidden="false" customHeight="false" outlineLevel="0" collapsed="false">
      <c r="A40" s="29" t="s">
        <v>465</v>
      </c>
      <c r="B40" s="60" t="s">
        <v>466</v>
      </c>
      <c r="C40" s="61" t="n">
        <f aca="false">SUM(E40:P40)</f>
        <v>8319774.8840356</v>
      </c>
      <c r="D40" s="61" t="n">
        <f aca="false">SUM(Q40:AB40)</f>
        <v>9628651.15145314</v>
      </c>
      <c r="E40" s="62" t="n">
        <f aca="false">Clients!E214</f>
        <v>736213.53</v>
      </c>
      <c r="F40" s="62" t="n">
        <f aca="false">Clients!F214</f>
        <v>605889.31</v>
      </c>
      <c r="G40" s="62" t="n">
        <f aca="false">Clients!G214</f>
        <v>557961.02</v>
      </c>
      <c r="H40" s="62" t="n">
        <f aca="false">Clients!H214</f>
        <v>624076.13</v>
      </c>
      <c r="I40" s="62" t="n">
        <f aca="false">Clients!I214</f>
        <v>704791.3</v>
      </c>
      <c r="J40" s="62" t="n">
        <f aca="false">Clients!J214</f>
        <v>641897.65</v>
      </c>
      <c r="K40" s="62" t="n">
        <f aca="false">Clients!K214</f>
        <v>739124.49</v>
      </c>
      <c r="L40" s="62" t="n">
        <f aca="false">Clients!L214</f>
        <v>739191.48</v>
      </c>
      <c r="M40" s="62" t="n">
        <f aca="false">Clients!M214</f>
        <v>681621.4689</v>
      </c>
      <c r="N40" s="62" t="n">
        <f aca="false">Clients!N214</f>
        <v>676773.768889</v>
      </c>
      <c r="O40" s="62" t="n">
        <f aca="false">Clients!O214</f>
        <v>792984.905711647</v>
      </c>
      <c r="P40" s="62" t="n">
        <f aca="false">Clients!P214</f>
        <v>819249.830534956</v>
      </c>
      <c r="Q40" s="62" t="n">
        <f aca="false">Clients!Q214</f>
        <v>864476.553919096</v>
      </c>
      <c r="R40" s="62" t="n">
        <f aca="false">Clients!R214</f>
        <v>855459.099340871</v>
      </c>
      <c r="S40" s="62" t="n">
        <f aca="false">Clients!S214</f>
        <v>837168.057648736</v>
      </c>
      <c r="T40" s="62" t="n">
        <f aca="false">Clients!T214</f>
        <v>809728.951093721</v>
      </c>
      <c r="U40" s="62" t="n">
        <f aca="false">Clients!U214</f>
        <v>794679.1320429</v>
      </c>
      <c r="V40" s="62" t="n">
        <f aca="false">Clients!V214</f>
        <v>868840.242065879</v>
      </c>
      <c r="W40" s="62" t="n">
        <f aca="false">Clients!W214</f>
        <v>690920.581795302</v>
      </c>
      <c r="X40" s="62" t="n">
        <f aca="false">Clients!X214</f>
        <v>757831.458005854</v>
      </c>
      <c r="Y40" s="62" t="n">
        <f aca="false">Clients!Y214</f>
        <v>829505.736996976</v>
      </c>
      <c r="Z40" s="62" t="n">
        <f aca="false">Clients!Z214</f>
        <v>717508.91956862</v>
      </c>
      <c r="AA40" s="62" t="n">
        <f aca="false">Clients!AA214</f>
        <v>820579.51158198</v>
      </c>
      <c r="AB40" s="62" t="n">
        <f aca="false">Clients!AB214</f>
        <v>781952.907393209</v>
      </c>
    </row>
    <row r="41" customFormat="false" ht="15" hidden="false" customHeight="false" outlineLevel="0" collapsed="false">
      <c r="A41" s="29" t="s">
        <v>467</v>
      </c>
      <c r="B41" s="60" t="s">
        <v>466</v>
      </c>
      <c r="C41" s="61" t="n">
        <f aca="false">SUM(E41:P41)</f>
        <v>-2213346.67710349</v>
      </c>
      <c r="D41" s="61" t="n">
        <f aca="false">SUM(Q41:AB41)</f>
        <v>-2485431.51591222</v>
      </c>
      <c r="E41" s="62" t="n">
        <f aca="false">-People!E160</f>
        <v>-175787.839016667</v>
      </c>
      <c r="F41" s="62" t="n">
        <f aca="false">-People!F160</f>
        <v>-181424.881</v>
      </c>
      <c r="G41" s="62" t="n">
        <f aca="false">-People!G160</f>
        <v>-184331.4313</v>
      </c>
      <c r="H41" s="62" t="n">
        <f aca="false">-People!H160</f>
        <v>-180572.034183333</v>
      </c>
      <c r="I41" s="62" t="n">
        <f aca="false">-People!I160</f>
        <v>-182914.922683333</v>
      </c>
      <c r="J41" s="62" t="n">
        <f aca="false">-People!J160</f>
        <v>-182952.735683333</v>
      </c>
      <c r="K41" s="62" t="n">
        <f aca="false">-People!K160</f>
        <v>-183485.256883333</v>
      </c>
      <c r="L41" s="62" t="n">
        <f aca="false">-People!L160</f>
        <v>-183640.809283333</v>
      </c>
      <c r="M41" s="62" t="n">
        <f aca="false">-People!M160</f>
        <v>-188292.020677778</v>
      </c>
      <c r="N41" s="62" t="n">
        <f aca="false">-People!N160</f>
        <v>-190866.696076071</v>
      </c>
      <c r="O41" s="62" t="n">
        <f aca="false">-People!O160</f>
        <v>-189580.070906532</v>
      </c>
      <c r="P41" s="62" t="n">
        <f aca="false">-People!P160</f>
        <v>-189497.979409779</v>
      </c>
      <c r="Q41" s="62" t="n">
        <f aca="false">-People!Q160</f>
        <v>-202717.465457762</v>
      </c>
      <c r="R41" s="62" t="n">
        <f aca="false">-People!R160</f>
        <v>-202662.224048628</v>
      </c>
      <c r="S41" s="62" t="n">
        <f aca="false">-People!S160</f>
        <v>-202592.962281413</v>
      </c>
      <c r="T41" s="62" t="n">
        <f aca="false">-People!T160</f>
        <v>-205946.120609898</v>
      </c>
      <c r="U41" s="62" t="n">
        <f aca="false">-People!U160</f>
        <v>-205919.764099144</v>
      </c>
      <c r="V41" s="62" t="n">
        <f aca="false">-People!V160</f>
        <v>-205893.008192995</v>
      </c>
      <c r="W41" s="62" t="n">
        <f aca="false">-People!W160</f>
        <v>-205865.695858434</v>
      </c>
      <c r="X41" s="62" t="n">
        <f aca="false">-People!X160</f>
        <v>-205866.351985399</v>
      </c>
      <c r="Y41" s="62" t="n">
        <f aca="false">-People!Y160</f>
        <v>-212107.873366024</v>
      </c>
      <c r="Z41" s="62" t="n">
        <f aca="false">-People!Z160</f>
        <v>-212030.076222336</v>
      </c>
      <c r="AA41" s="62" t="n">
        <f aca="false">-People!AA160</f>
        <v>-211953.027218707</v>
      </c>
      <c r="AB41" s="62" t="n">
        <f aca="false">-People!AB160</f>
        <v>-211876.946571481</v>
      </c>
    </row>
    <row r="42" customFormat="false" ht="15" hidden="false" customHeight="false" outlineLevel="0" collapsed="false">
      <c r="A42" s="29" t="s">
        <v>468</v>
      </c>
      <c r="B42" s="60" t="s">
        <v>466</v>
      </c>
      <c r="C42" s="61" t="n">
        <f aca="false">SUM(E42:P42)</f>
        <v>-231593.6</v>
      </c>
      <c r="D42" s="61" t="n">
        <f aca="false">SUM(Q42:AB42)</f>
        <v>-204727.838322765</v>
      </c>
      <c r="E42" s="62" t="n">
        <f aca="false">-People!E155</f>
        <v>-0</v>
      </c>
      <c r="F42" s="62" t="n">
        <f aca="false">-People!F155</f>
        <v>-0</v>
      </c>
      <c r="G42" s="62" t="n">
        <f aca="false">-People!G155</f>
        <v>-231593.6</v>
      </c>
      <c r="H42" s="62" t="n">
        <f aca="false">-People!H155</f>
        <v>-0</v>
      </c>
      <c r="I42" s="62" t="n">
        <f aca="false">-People!I155</f>
        <v>-0</v>
      </c>
      <c r="J42" s="62" t="n">
        <f aca="false">-People!J155</f>
        <v>-0</v>
      </c>
      <c r="K42" s="62" t="n">
        <f aca="false">-People!K155</f>
        <v>-0</v>
      </c>
      <c r="L42" s="62" t="n">
        <f aca="false">-People!L155</f>
        <v>-0</v>
      </c>
      <c r="M42" s="62" t="n">
        <f aca="false">-People!M155</f>
        <v>-0</v>
      </c>
      <c r="N42" s="62" t="n">
        <f aca="false">-People!N155</f>
        <v>-0</v>
      </c>
      <c r="O42" s="62" t="n">
        <f aca="false">-People!O155</f>
        <v>-0</v>
      </c>
      <c r="P42" s="62" t="n">
        <f aca="false">-People!P155</f>
        <v>-0</v>
      </c>
      <c r="Q42" s="62" t="n">
        <f aca="false">-People!Q155</f>
        <v>-0</v>
      </c>
      <c r="R42" s="62" t="n">
        <f aca="false">-People!R155</f>
        <v>-0</v>
      </c>
      <c r="S42" s="62" t="n">
        <f aca="false">-People!S155</f>
        <v>-204727.838322765</v>
      </c>
      <c r="T42" s="62" t="n">
        <f aca="false">-People!T155</f>
        <v>-0</v>
      </c>
      <c r="U42" s="62" t="n">
        <f aca="false">-People!U155</f>
        <v>-0</v>
      </c>
      <c r="V42" s="62" t="n">
        <f aca="false">-People!V155</f>
        <v>-0</v>
      </c>
      <c r="W42" s="62" t="n">
        <f aca="false">-People!W155</f>
        <v>-0</v>
      </c>
      <c r="X42" s="62" t="n">
        <f aca="false">-People!X155</f>
        <v>-0</v>
      </c>
      <c r="Y42" s="62" t="n">
        <f aca="false">-People!Y155</f>
        <v>-0</v>
      </c>
      <c r="Z42" s="62" t="n">
        <f aca="false">-People!Z155</f>
        <v>-0</v>
      </c>
      <c r="AA42" s="62" t="n">
        <f aca="false">-People!AA155</f>
        <v>-0</v>
      </c>
      <c r="AB42" s="62" t="n">
        <f aca="false">-People!AB155</f>
        <v>-0</v>
      </c>
    </row>
    <row r="43" customFormat="false" ht="15" hidden="false" customHeight="false" outlineLevel="0" collapsed="false">
      <c r="A43" s="29" t="s">
        <v>469</v>
      </c>
      <c r="B43" s="60" t="s">
        <v>466</v>
      </c>
      <c r="C43" s="61" t="n">
        <f aca="false">SUM(E43:P43)</f>
        <v>-1262537.46239455</v>
      </c>
      <c r="D43" s="61" t="n">
        <f aca="false">SUM(Q43:AB43)</f>
        <v>-1468789.25484735</v>
      </c>
      <c r="E43" s="62" t="n">
        <f aca="false">-People!E161</f>
        <v>-97530.3125166667</v>
      </c>
      <c r="F43" s="62" t="n">
        <f aca="false">-People!F161</f>
        <v>-100693.201266667</v>
      </c>
      <c r="G43" s="62" t="n">
        <f aca="false">-People!G161</f>
        <v>-126364.473766667</v>
      </c>
      <c r="H43" s="62" t="n">
        <f aca="false">-People!H161</f>
        <v>-100216.17835</v>
      </c>
      <c r="I43" s="62" t="n">
        <f aca="false">-People!I161</f>
        <v>-102418.43085</v>
      </c>
      <c r="J43" s="62" t="n">
        <f aca="false">-People!J161</f>
        <v>-102337.45085</v>
      </c>
      <c r="K43" s="62" t="n">
        <f aca="false">-People!K161</f>
        <v>-102369.52085</v>
      </c>
      <c r="L43" s="62" t="n">
        <f aca="false">-People!L161</f>
        <v>-102477.57085</v>
      </c>
      <c r="M43" s="62" t="n">
        <f aca="false">-People!M161</f>
        <v>-106069.382029167</v>
      </c>
      <c r="N43" s="62" t="n">
        <f aca="false">-People!N161</f>
        <v>-107960.653960851</v>
      </c>
      <c r="O43" s="62" t="n">
        <f aca="false">-People!O161</f>
        <v>-107081.077307219</v>
      </c>
      <c r="P43" s="62" t="n">
        <f aca="false">-People!P161</f>
        <v>-107019.209797312</v>
      </c>
      <c r="Q43" s="62" t="n">
        <f aca="false">-People!Q161</f>
        <v>-117677.92536311</v>
      </c>
      <c r="R43" s="62" t="n">
        <f aca="false">-People!R161</f>
        <v>-117639.177556909</v>
      </c>
      <c r="S43" s="62" t="n">
        <f aca="false">-People!S161</f>
        <v>-138381.9628615</v>
      </c>
      <c r="T43" s="62" t="n">
        <f aca="false">-People!T161</f>
        <v>-119677.886515199</v>
      </c>
      <c r="U43" s="62" t="n">
        <f aca="false">-People!U161</f>
        <v>-119661.62682662</v>
      </c>
      <c r="V43" s="62" t="n">
        <f aca="false">-People!V161</f>
        <v>-119645.062618045</v>
      </c>
      <c r="W43" s="62" t="n">
        <f aca="false">-People!W161</f>
        <v>-119628.079741561</v>
      </c>
      <c r="X43" s="62" t="n">
        <f aca="false">-People!X161</f>
        <v>-119628.484356815</v>
      </c>
      <c r="Y43" s="62" t="n">
        <f aca="false">-People!Y161</f>
        <v>-124299.00531099</v>
      </c>
      <c r="Z43" s="62" t="n">
        <f aca="false">-People!Z161</f>
        <v>-124240.761531991</v>
      </c>
      <c r="AA43" s="62" t="n">
        <f aca="false">-People!AA161</f>
        <v>-124183.10659952</v>
      </c>
      <c r="AB43" s="62" t="n">
        <f aca="false">-People!AB161</f>
        <v>-124126.175565089</v>
      </c>
    </row>
    <row r="44" customFormat="false" ht="15" hidden="false" customHeight="false" outlineLevel="0" collapsed="false">
      <c r="A44" s="29" t="s">
        <v>470</v>
      </c>
      <c r="B44" s="60" t="s">
        <v>466</v>
      </c>
      <c r="C44" s="61" t="n">
        <f aca="false">SUM(E44:P44)</f>
        <v>0</v>
      </c>
      <c r="D44" s="61" t="n">
        <f aca="false">SUM(Q44:AB44)</f>
        <v>0</v>
      </c>
      <c r="E44" s="62" t="n">
        <f aca="false">-People!E36</f>
        <v>-0</v>
      </c>
      <c r="F44" s="62" t="n">
        <f aca="false">-People!F36</f>
        <v>-0</v>
      </c>
      <c r="G44" s="62" t="n">
        <f aca="false">-People!G36</f>
        <v>-0</v>
      </c>
      <c r="H44" s="62" t="n">
        <f aca="false">-People!H36</f>
        <v>-0</v>
      </c>
      <c r="I44" s="62" t="n">
        <f aca="false">-People!I36</f>
        <v>-0</v>
      </c>
      <c r="J44" s="62" t="n">
        <f aca="false">-People!J36</f>
        <v>-0</v>
      </c>
      <c r="K44" s="62" t="n">
        <f aca="false">-People!K36</f>
        <v>-0</v>
      </c>
      <c r="L44" s="62" t="n">
        <f aca="false">-People!L36</f>
        <v>-0</v>
      </c>
      <c r="M44" s="62" t="n">
        <f aca="false">-People!M36</f>
        <v>-0</v>
      </c>
      <c r="N44" s="62" t="n">
        <f aca="false">-People!N36</f>
        <v>-0</v>
      </c>
      <c r="O44" s="62" t="n">
        <f aca="false">-People!O36</f>
        <v>-0</v>
      </c>
      <c r="P44" s="62" t="n">
        <f aca="false">-People!P36</f>
        <v>-0</v>
      </c>
      <c r="Q44" s="62" t="n">
        <f aca="false">-People!Q36</f>
        <v>-0</v>
      </c>
      <c r="R44" s="62" t="n">
        <f aca="false">-People!R36</f>
        <v>-0</v>
      </c>
      <c r="S44" s="62" t="n">
        <f aca="false">-People!S36</f>
        <v>-0</v>
      </c>
      <c r="T44" s="62" t="n">
        <f aca="false">-People!T36</f>
        <v>-0</v>
      </c>
      <c r="U44" s="62" t="n">
        <f aca="false">-People!U36</f>
        <v>-0</v>
      </c>
      <c r="V44" s="62" t="n">
        <f aca="false">-People!V36</f>
        <v>-0</v>
      </c>
      <c r="W44" s="62" t="n">
        <f aca="false">-People!W36</f>
        <v>-0</v>
      </c>
      <c r="X44" s="62" t="n">
        <f aca="false">-People!X36</f>
        <v>-0</v>
      </c>
      <c r="Y44" s="62" t="n">
        <f aca="false">-People!Y36</f>
        <v>-0</v>
      </c>
      <c r="Z44" s="62" t="n">
        <f aca="false">-People!Z36</f>
        <v>-0</v>
      </c>
      <c r="AA44" s="62" t="n">
        <f aca="false">-People!AA36</f>
        <v>-0</v>
      </c>
      <c r="AB44" s="62" t="n">
        <f aca="false">-People!AB36</f>
        <v>-0</v>
      </c>
    </row>
    <row r="45" customFormat="false" ht="15" hidden="false" customHeight="false" outlineLevel="0" collapsed="false">
      <c r="A45" s="29" t="s">
        <v>471</v>
      </c>
      <c r="B45" s="60" t="s">
        <v>466</v>
      </c>
      <c r="C45" s="61" t="n">
        <f aca="false">SUM(E45:P45)</f>
        <v>-1248185.76929707</v>
      </c>
      <c r="D45" s="61" t="n">
        <f aca="false">SUM(Q45:AB45)</f>
        <v>-1356352.9013832</v>
      </c>
      <c r="E45" s="62" t="n">
        <f aca="false">People!E164</f>
        <v>-89480.35</v>
      </c>
      <c r="F45" s="62" t="n">
        <f aca="false">People!F164</f>
        <v>-89474.3384666667</v>
      </c>
      <c r="G45" s="62" t="n">
        <f aca="false">People!G164</f>
        <v>-92228.5977333333</v>
      </c>
      <c r="H45" s="62" t="n">
        <f aca="false">People!H164</f>
        <v>-230155.894933333</v>
      </c>
      <c r="I45" s="62" t="n">
        <f aca="false">People!I164</f>
        <v>-91552.2874666666</v>
      </c>
      <c r="J45" s="62" t="n">
        <f aca="false">People!J164</f>
        <v>-92669.3464666666</v>
      </c>
      <c r="K45" s="62" t="n">
        <f aca="false">People!K164</f>
        <v>-92659.9634666667</v>
      </c>
      <c r="L45" s="62" t="n">
        <f aca="false">People!L164</f>
        <v>-92694.1822666666</v>
      </c>
      <c r="M45" s="62" t="n">
        <f aca="false">People!M164</f>
        <v>-92642.9398666667</v>
      </c>
      <c r="N45" s="62" t="n">
        <f aca="false">People!N164</f>
        <v>-94291.4577777778</v>
      </c>
      <c r="O45" s="62" t="n">
        <f aca="false">People!O164</f>
        <v>-95457.5658796296</v>
      </c>
      <c r="P45" s="62" t="n">
        <f aca="false">People!P164</f>
        <v>-94878.8449729938</v>
      </c>
      <c r="Q45" s="62" t="n">
        <f aca="false">People!Q164</f>
        <v>-94847.6682192764</v>
      </c>
      <c r="R45" s="62" t="n">
        <f aca="false">People!R164</f>
        <v>-101837.915484294</v>
      </c>
      <c r="S45" s="62" t="n">
        <f aca="false">People!S164</f>
        <v>-101810.669889937</v>
      </c>
      <c r="T45" s="62" t="n">
        <f aca="false">People!T164</f>
        <v>-222784.364958974</v>
      </c>
      <c r="U45" s="62" t="n">
        <f aca="false">People!U164</f>
        <v>-103573.620394169</v>
      </c>
      <c r="V45" s="62" t="n">
        <f aca="false">People!V164</f>
        <v>-103559.409189304</v>
      </c>
      <c r="W45" s="62" t="n">
        <f aca="false">People!W164</f>
        <v>-103545.014351401</v>
      </c>
      <c r="X45" s="62" t="n">
        <f aca="false">People!X164</f>
        <v>-103530.369181791</v>
      </c>
      <c r="Y45" s="62" t="n">
        <f aca="false">People!Y164</f>
        <v>-103530.723158026</v>
      </c>
      <c r="Z45" s="62" t="n">
        <f aca="false">People!Z164</f>
        <v>-105805.958993546</v>
      </c>
      <c r="AA45" s="62" t="n">
        <f aca="false">People!AA164</f>
        <v>-105777.637672164</v>
      </c>
      <c r="AB45" s="62" t="n">
        <f aca="false">People!AB164</f>
        <v>-105749.549890318</v>
      </c>
    </row>
    <row r="46" customFormat="false" ht="15" hidden="false" customHeight="false" outlineLevel="0" collapsed="false">
      <c r="A46" s="29" t="s">
        <v>357</v>
      </c>
      <c r="B46" s="60" t="s">
        <v>466</v>
      </c>
      <c r="C46" s="61" t="n">
        <f aca="false">SUM(E46:P46)</f>
        <v>-280004.490591535</v>
      </c>
      <c r="D46" s="61" t="n">
        <f aca="false">SUM(Q46:AB46)</f>
        <v>-54414.0053546596</v>
      </c>
      <c r="E46" s="62" t="n">
        <f aca="false">-Payables!E11</f>
        <v>-30857.64</v>
      </c>
      <c r="F46" s="62" t="n">
        <f aca="false">-Payables!F11</f>
        <v>-8611.99</v>
      </c>
      <c r="G46" s="62" t="n">
        <f aca="false">-Payables!G11</f>
        <v>-10123.86</v>
      </c>
      <c r="H46" s="62" t="n">
        <f aca="false">-Payables!H11</f>
        <v>-1925.12</v>
      </c>
      <c r="I46" s="62" t="n">
        <f aca="false">-Payables!I11</f>
        <v>-17908.6</v>
      </c>
      <c r="J46" s="62" t="n">
        <f aca="false">-Payables!J11</f>
        <v>-48475.55</v>
      </c>
      <c r="K46" s="62" t="n">
        <f aca="false">-Payables!K11</f>
        <v>-52164.14</v>
      </c>
      <c r="L46" s="62" t="n">
        <f aca="false">-Payables!L11</f>
        <v>-23996.45</v>
      </c>
      <c r="M46" s="62" t="n">
        <f aca="false">-Payables!M11</f>
        <v>-15088.84159</v>
      </c>
      <c r="N46" s="62" t="n">
        <f aca="false">-Payables!N11</f>
        <v>-44973.1880456479</v>
      </c>
      <c r="O46" s="62" t="n">
        <f aca="false">-Payables!O11</f>
        <v>-20188.754385353</v>
      </c>
      <c r="P46" s="62" t="n">
        <f aca="false">-Payables!P11</f>
        <v>-5690.35657053398</v>
      </c>
      <c r="Q46" s="62" t="n">
        <f aca="false">-Payables!Q11</f>
        <v>-19078.3834339666</v>
      </c>
      <c r="R46" s="62" t="n">
        <f aca="false">-Payables!R11</f>
        <v>-17591.1005682754</v>
      </c>
      <c r="S46" s="62" t="n">
        <f aca="false">-Payables!S11</f>
        <v>-17695.717563669</v>
      </c>
      <c r="T46" s="62" t="n">
        <f aca="false">-Payables!T11</f>
        <v>-48.8037887485734</v>
      </c>
      <c r="U46" s="62" t="n">
        <f aca="false">-Payables!U11</f>
        <v>-0</v>
      </c>
      <c r="V46" s="62" t="n">
        <f aca="false">-Payables!V11</f>
        <v>-0</v>
      </c>
      <c r="W46" s="62" t="n">
        <f aca="false">-Payables!W11</f>
        <v>-0</v>
      </c>
      <c r="X46" s="62" t="n">
        <f aca="false">-Payables!X11</f>
        <v>-0</v>
      </c>
      <c r="Y46" s="62" t="n">
        <f aca="false">-Payables!Y11</f>
        <v>-0</v>
      </c>
      <c r="Z46" s="62" t="n">
        <f aca="false">-Payables!Z11</f>
        <v>-0</v>
      </c>
      <c r="AA46" s="62" t="n">
        <f aca="false">-Payables!AA11</f>
        <v>-0</v>
      </c>
      <c r="AB46" s="62" t="n">
        <f aca="false">-Payables!AB11</f>
        <v>-0</v>
      </c>
    </row>
    <row r="47" customFormat="false" ht="15" hidden="false" customHeight="false" outlineLevel="0" collapsed="false">
      <c r="A47" s="29" t="s">
        <v>472</v>
      </c>
      <c r="B47" s="60" t="s">
        <v>466</v>
      </c>
      <c r="C47" s="61" t="n">
        <f aca="false">SUM(E47:P47)</f>
        <v>-534452.984224874</v>
      </c>
      <c r="D47" s="61" t="n">
        <f aca="false">SUM(Q47:AB47)</f>
        <v>-552760.037847901</v>
      </c>
      <c r="E47" s="62" t="n">
        <f aca="false">-Payables!E16</f>
        <v>-27556.93</v>
      </c>
      <c r="F47" s="62" t="n">
        <f aca="false">-Payables!F16</f>
        <v>-35377.63</v>
      </c>
      <c r="G47" s="62" t="n">
        <f aca="false">-Payables!G16</f>
        <v>-41287.68</v>
      </c>
      <c r="H47" s="62" t="n">
        <f aca="false">-Payables!H16</f>
        <v>-42939.77</v>
      </c>
      <c r="I47" s="62" t="n">
        <f aca="false">-Payables!I16</f>
        <v>-40405.45</v>
      </c>
      <c r="J47" s="62" t="n">
        <f aca="false">-Payables!J16</f>
        <v>-47106.27</v>
      </c>
      <c r="K47" s="62" t="n">
        <f aca="false">-Payables!K16</f>
        <v>-55947.7</v>
      </c>
      <c r="L47" s="62" t="n">
        <f aca="false">-Payables!L16</f>
        <v>-41490.9</v>
      </c>
      <c r="M47" s="62" t="n">
        <f aca="false">-Payables!M16</f>
        <v>-50036.2022762622</v>
      </c>
      <c r="N47" s="62" t="n">
        <f aca="false">-Payables!N16</f>
        <v>-54683.1423393816</v>
      </c>
      <c r="O47" s="62" t="n">
        <f aca="false">-Payables!O16</f>
        <v>-48731.2557162518</v>
      </c>
      <c r="P47" s="62" t="n">
        <f aca="false">-Payables!P16</f>
        <v>-48890.0538929782</v>
      </c>
      <c r="Q47" s="62" t="n">
        <f aca="false">-Payables!Q16</f>
        <v>-49908.6166167846</v>
      </c>
      <c r="R47" s="62" t="n">
        <f aca="false">-Payables!R16</f>
        <v>-49945.7920024364</v>
      </c>
      <c r="S47" s="62" t="n">
        <f aca="false">-Payables!S16</f>
        <v>-51120.8356874378</v>
      </c>
      <c r="T47" s="62" t="n">
        <f aca="false">-Payables!T16</f>
        <v>-50893.6892998062</v>
      </c>
      <c r="U47" s="62" t="n">
        <f aca="false">-Payables!U16</f>
        <v>-44481.2903853512</v>
      </c>
      <c r="V47" s="62" t="n">
        <f aca="false">-Payables!V16</f>
        <v>-43801.8259985389</v>
      </c>
      <c r="W47" s="62" t="n">
        <f aca="false">-Payables!W16</f>
        <v>-47528.5427532627</v>
      </c>
      <c r="X47" s="62" t="n">
        <f aca="false">-Payables!X16</f>
        <v>-41869.3216233102</v>
      </c>
      <c r="Y47" s="62" t="n">
        <f aca="false">-Payables!Y16</f>
        <v>-42456.6091350305</v>
      </c>
      <c r="Z47" s="62" t="n">
        <f aca="false">-Payables!Z16</f>
        <v>-44117.8247443607</v>
      </c>
      <c r="AA47" s="62" t="n">
        <f aca="false">-Payables!AA16</f>
        <v>-42013.1457900282</v>
      </c>
      <c r="AB47" s="62" t="n">
        <f aca="false">-Payables!AB16</f>
        <v>-44622.5438115534</v>
      </c>
    </row>
    <row r="48" customFormat="false" ht="15" hidden="false" customHeight="false" outlineLevel="0" collapsed="false">
      <c r="A48" s="29" t="s">
        <v>473</v>
      </c>
      <c r="B48" s="60" t="s">
        <v>466</v>
      </c>
      <c r="C48" s="61" t="n">
        <f aca="false">SUM(E48:P48)</f>
        <v>-342720</v>
      </c>
      <c r="D48" s="61" t="n">
        <f aca="false">SUM(Q48:AB48)</f>
        <v>-353001.6</v>
      </c>
      <c r="E48" s="62" t="n">
        <f aca="false">-Overheads!E35</f>
        <v>-28560</v>
      </c>
      <c r="F48" s="62" t="n">
        <f aca="false">-Overheads!F35</f>
        <v>-28560</v>
      </c>
      <c r="G48" s="62" t="n">
        <f aca="false">-Overheads!G35</f>
        <v>-28560</v>
      </c>
      <c r="H48" s="62" t="n">
        <f aca="false">-Overheads!H35</f>
        <v>-28560</v>
      </c>
      <c r="I48" s="62" t="n">
        <f aca="false">-Overheads!I35</f>
        <v>-28560</v>
      </c>
      <c r="J48" s="62" t="n">
        <f aca="false">-Overheads!J35</f>
        <v>-28560</v>
      </c>
      <c r="K48" s="62" t="n">
        <f aca="false">-Overheads!K35</f>
        <v>-28560</v>
      </c>
      <c r="L48" s="62" t="n">
        <f aca="false">-Overheads!L35</f>
        <v>-28560</v>
      </c>
      <c r="M48" s="62" t="n">
        <f aca="false">-Overheads!M35</f>
        <v>-28560</v>
      </c>
      <c r="N48" s="62" t="n">
        <f aca="false">-Overheads!N35</f>
        <v>-28560</v>
      </c>
      <c r="O48" s="62" t="n">
        <f aca="false">-Overheads!O35</f>
        <v>-28560</v>
      </c>
      <c r="P48" s="62" t="n">
        <f aca="false">-Overheads!P35</f>
        <v>-28560</v>
      </c>
      <c r="Q48" s="62" t="n">
        <f aca="false">-Overheads!Q35</f>
        <v>-29416.8</v>
      </c>
      <c r="R48" s="62" t="n">
        <f aca="false">-Overheads!R35</f>
        <v>-29416.8</v>
      </c>
      <c r="S48" s="62" t="n">
        <f aca="false">-Overheads!S35</f>
        <v>-29416.8</v>
      </c>
      <c r="T48" s="62" t="n">
        <f aca="false">-Overheads!T35</f>
        <v>-29416.8</v>
      </c>
      <c r="U48" s="62" t="n">
        <f aca="false">-Overheads!U35</f>
        <v>-29416.8</v>
      </c>
      <c r="V48" s="62" t="n">
        <f aca="false">-Overheads!V35</f>
        <v>-29416.8</v>
      </c>
      <c r="W48" s="62" t="n">
        <f aca="false">-Overheads!W35</f>
        <v>-29416.8</v>
      </c>
      <c r="X48" s="62" t="n">
        <f aca="false">-Overheads!X35</f>
        <v>-29416.8</v>
      </c>
      <c r="Y48" s="62" t="n">
        <f aca="false">-Overheads!Y35</f>
        <v>-29416.8</v>
      </c>
      <c r="Z48" s="62" t="n">
        <f aca="false">-Overheads!Z35</f>
        <v>-29416.8</v>
      </c>
      <c r="AA48" s="62" t="n">
        <f aca="false">-Overheads!AA35</f>
        <v>-29416.8</v>
      </c>
      <c r="AB48" s="62" t="n">
        <f aca="false">-Overheads!AB35</f>
        <v>-29416.8</v>
      </c>
    </row>
    <row r="49" customFormat="false" ht="15" hidden="false" customHeight="false" outlineLevel="0" collapsed="false">
      <c r="A49" s="29" t="s">
        <v>474</v>
      </c>
      <c r="B49" s="60" t="s">
        <v>466</v>
      </c>
      <c r="C49" s="61" t="n">
        <f aca="false">SUM(E49:P49)</f>
        <v>-805878.74</v>
      </c>
      <c r="D49" s="61" t="n">
        <f aca="false">SUM(Q49:AB49)</f>
        <v>-808212.0571</v>
      </c>
      <c r="E49" s="62" t="n">
        <f aca="false">-Payables!E21</f>
        <v>-71473.38</v>
      </c>
      <c r="F49" s="62" t="n">
        <f aca="false">-Payables!F21</f>
        <v>-70612.22</v>
      </c>
      <c r="G49" s="62" t="n">
        <f aca="false">-Payables!G21</f>
        <v>-74971.44</v>
      </c>
      <c r="H49" s="62" t="n">
        <f aca="false">-Payables!H21</f>
        <v>-63215.27</v>
      </c>
      <c r="I49" s="62" t="n">
        <f aca="false">-Payables!I21</f>
        <v>-62334.12</v>
      </c>
      <c r="J49" s="62" t="n">
        <f aca="false">-Payables!J21</f>
        <v>-63599.99</v>
      </c>
      <c r="K49" s="62" t="n">
        <f aca="false">-Payables!K21</f>
        <v>-68246.55</v>
      </c>
      <c r="L49" s="62" t="n">
        <f aca="false">-Payables!L21</f>
        <v>-66157.82</v>
      </c>
      <c r="M49" s="62" t="n">
        <f aca="false">-Payables!M21</f>
        <v>-59617.05</v>
      </c>
      <c r="N49" s="62" t="n">
        <f aca="false">-Payables!N21</f>
        <v>-74155.2</v>
      </c>
      <c r="O49" s="62" t="n">
        <f aca="false">-Payables!O21</f>
        <v>-71180.2</v>
      </c>
      <c r="P49" s="62" t="n">
        <f aca="false">-Payables!P21</f>
        <v>-60315.5</v>
      </c>
      <c r="Q49" s="62" t="n">
        <f aca="false">-Payables!Q21</f>
        <v>-80143.1365</v>
      </c>
      <c r="R49" s="62" t="n">
        <f aca="false">-Payables!R21</f>
        <v>-81047.869</v>
      </c>
      <c r="S49" s="62" t="n">
        <f aca="false">-Payables!S21</f>
        <v>-62124.965</v>
      </c>
      <c r="T49" s="62" t="n">
        <f aca="false">-Payables!T21</f>
        <v>-72035.6658</v>
      </c>
      <c r="U49" s="62" t="n">
        <f aca="false">-Payables!U21</f>
        <v>-72035.6658</v>
      </c>
      <c r="V49" s="62" t="n">
        <f aca="false">-Payables!V21</f>
        <v>-62124.965</v>
      </c>
      <c r="W49" s="62" t="n">
        <f aca="false">-Payables!W21</f>
        <v>-62124.965</v>
      </c>
      <c r="X49" s="62" t="n">
        <f aca="false">-Payables!X21</f>
        <v>-62124.965</v>
      </c>
      <c r="Y49" s="62" t="n">
        <f aca="false">-Payables!Y21</f>
        <v>-65099.965</v>
      </c>
      <c r="Z49" s="62" t="n">
        <f aca="false">-Payables!Z21</f>
        <v>-65099.965</v>
      </c>
      <c r="AA49" s="62" t="n">
        <f aca="false">-Payables!AA21</f>
        <v>-62124.965</v>
      </c>
      <c r="AB49" s="62" t="n">
        <f aca="false">-Payables!AB21</f>
        <v>-62124.965</v>
      </c>
    </row>
    <row r="50" customFormat="false" ht="15" hidden="false" customHeight="false" outlineLevel="0" collapsed="false">
      <c r="A50" s="29" t="s">
        <v>475</v>
      </c>
      <c r="B50" s="60" t="s">
        <v>466</v>
      </c>
      <c r="C50" s="61" t="n">
        <f aca="false">SUM(E50:P50)</f>
        <v>-956001.785105145</v>
      </c>
      <c r="D50" s="61" t="n">
        <f aca="false">SUM(Q50:AB50)</f>
        <v>-1215319.80953109</v>
      </c>
      <c r="E50" s="62" t="n">
        <f aca="false">VAT!E23+VAT!E24</f>
        <v>-79348.87</v>
      </c>
      <c r="F50" s="62" t="n">
        <f aca="false">VAT!F23+VAT!F24</f>
        <v>-97925.3</v>
      </c>
      <c r="G50" s="62" t="n">
        <f aca="false">VAT!G23+VAT!G24</f>
        <v>-69027.50681</v>
      </c>
      <c r="H50" s="62" t="n">
        <f aca="false">VAT!H23+VAT!H24</f>
        <v>-72578.44118</v>
      </c>
      <c r="I50" s="62" t="n">
        <f aca="false">VAT!I23+VAT!I24</f>
        <v>-70419.14775</v>
      </c>
      <c r="J50" s="62" t="n">
        <f aca="false">VAT!J23+VAT!J24</f>
        <v>-96416.366235</v>
      </c>
      <c r="K50" s="62" t="n">
        <f aca="false">VAT!K23+VAT!K24</f>
        <v>-68089.038145</v>
      </c>
      <c r="L50" s="62" t="n">
        <f aca="false">VAT!L23+VAT!L24</f>
        <v>-87280.027495</v>
      </c>
      <c r="M50" s="62" t="n">
        <f aca="false">VAT!M23+VAT!M24</f>
        <v>-75685.38304</v>
      </c>
      <c r="N50" s="62" t="n">
        <f aca="false">VAT!N23+VAT!N24</f>
        <v>-88417.227555</v>
      </c>
      <c r="O50" s="62" t="n">
        <f aca="false">VAT!O23+VAT!O24</f>
        <v>-53554.5402686063</v>
      </c>
      <c r="P50" s="62" t="n">
        <f aca="false">VAT!P23+VAT!P24</f>
        <v>-97259.9366265384</v>
      </c>
      <c r="Q50" s="62" t="n">
        <f aca="false">VAT!Q23+VAT!Q24</f>
        <v>-85364.5542897032</v>
      </c>
      <c r="R50" s="62" t="n">
        <f aca="false">VAT!R23+VAT!R24</f>
        <v>-120813.616347903</v>
      </c>
      <c r="S50" s="62" t="n">
        <f aca="false">VAT!S23+VAT!S24</f>
        <v>-105257.18418703</v>
      </c>
      <c r="T50" s="62" t="n">
        <f aca="false">VAT!T23+VAT!T24</f>
        <v>-106191.640025824</v>
      </c>
      <c r="U50" s="62" t="n">
        <f aca="false">VAT!U23+VAT!U24</f>
        <v>-98491.0095728204</v>
      </c>
      <c r="V50" s="62" t="n">
        <f aca="false">VAT!V23+VAT!V24</f>
        <v>-96706.296931063</v>
      </c>
      <c r="W50" s="62" t="n">
        <f aca="false">VAT!W23+VAT!W24</f>
        <v>-107671.461053924</v>
      </c>
      <c r="X50" s="62" t="n">
        <f aca="false">VAT!X23+VAT!X24</f>
        <v>-72076.8519323</v>
      </c>
      <c r="Y50" s="62" t="n">
        <f aca="false">VAT!Y23+VAT!Y24</f>
        <v>-111787.588788578</v>
      </c>
      <c r="Z50" s="62" t="n">
        <f aca="false">VAT!Z23+VAT!Z24</f>
        <v>-102811.439183376</v>
      </c>
      <c r="AA50" s="62" t="n">
        <f aca="false">VAT!AA23+VAT!AA24</f>
        <v>-93529.7058869168</v>
      </c>
      <c r="AB50" s="62" t="n">
        <f aca="false">VAT!AB23+VAT!AB24</f>
        <v>-114618.461331651</v>
      </c>
    </row>
    <row r="51" customFormat="false" ht="15" hidden="false" customHeight="false" outlineLevel="0" collapsed="false">
      <c r="A51" s="29" t="s">
        <v>385</v>
      </c>
      <c r="B51" s="60" t="s">
        <v>466</v>
      </c>
      <c r="C51" s="61" t="n">
        <f aca="false">SUM(E51:P51)</f>
        <v>-177450</v>
      </c>
      <c r="D51" s="61" t="n">
        <f aca="false">SUM(Q51:AB51)</f>
        <v>-126645.179090454</v>
      </c>
      <c r="E51" s="62" t="n">
        <f aca="false">-(Tax!E17+Tax!E18)</f>
        <v>-0</v>
      </c>
      <c r="F51" s="62" t="n">
        <f aca="false">-(Tax!F17+Tax!F18)</f>
        <v>-0</v>
      </c>
      <c r="G51" s="62" t="n">
        <f aca="false">-(Tax!G17+Tax!G18)</f>
        <v>-36000</v>
      </c>
      <c r="H51" s="62" t="n">
        <f aca="false">-(Tax!H17+Tax!H18)</f>
        <v>-0</v>
      </c>
      <c r="I51" s="62" t="n">
        <f aca="false">-(Tax!I17+Tax!I18)</f>
        <v>-0</v>
      </c>
      <c r="J51" s="62" t="n">
        <f aca="false">-(Tax!J17+Tax!J18)</f>
        <v>-36000</v>
      </c>
      <c r="K51" s="62" t="n">
        <f aca="false">-(Tax!K17+Tax!K18)</f>
        <v>-22300</v>
      </c>
      <c r="L51" s="62" t="n">
        <f aca="false">-(Tax!L17+Tax!L18)</f>
        <v>-0</v>
      </c>
      <c r="M51" s="62" t="n">
        <f aca="false">-(Tax!M17+Tax!M18)</f>
        <v>-41575</v>
      </c>
      <c r="N51" s="62" t="n">
        <f aca="false">-(Tax!N17+Tax!N18)</f>
        <v>-0</v>
      </c>
      <c r="O51" s="62" t="n">
        <f aca="false">-(Tax!O17+Tax!O18)</f>
        <v>-0</v>
      </c>
      <c r="P51" s="62" t="n">
        <f aca="false">-(Tax!P17+Tax!P18)</f>
        <v>-41575</v>
      </c>
      <c r="Q51" s="62" t="n">
        <f aca="false">-(Tax!Q17+Tax!Q18)</f>
        <v>-0</v>
      </c>
      <c r="R51" s="62" t="n">
        <f aca="false">-(Tax!R17+Tax!R18)</f>
        <v>-0</v>
      </c>
      <c r="S51" s="62" t="n">
        <f aca="false">-(Tax!S17+Tax!S18)</f>
        <v>-31661.2947726134</v>
      </c>
      <c r="T51" s="62" t="n">
        <f aca="false">-(Tax!T17+Tax!T18)</f>
        <v>-0</v>
      </c>
      <c r="U51" s="62" t="n">
        <f aca="false">-(Tax!U17+Tax!U18)</f>
        <v>-0</v>
      </c>
      <c r="V51" s="62" t="n">
        <f aca="false">-(Tax!V17+Tax!V18)</f>
        <v>-31661.2947726134</v>
      </c>
      <c r="W51" s="62" t="n">
        <f aca="false">-(Tax!W17+Tax!W18)</f>
        <v>-0</v>
      </c>
      <c r="X51" s="62" t="n">
        <f aca="false">-(Tax!X17+Tax!X18)</f>
        <v>-0</v>
      </c>
      <c r="Y51" s="62" t="n">
        <f aca="false">-(Tax!Y17+Tax!Y18)</f>
        <v>-31661.2947726134</v>
      </c>
      <c r="Z51" s="62" t="n">
        <f aca="false">-(Tax!Z17+Tax!Z18)</f>
        <v>-0</v>
      </c>
      <c r="AA51" s="62" t="n">
        <f aca="false">-(Tax!AA17+Tax!AA18)</f>
        <v>-0</v>
      </c>
      <c r="AB51" s="62" t="n">
        <f aca="false">-(Tax!AB17+Tax!AB18)</f>
        <v>-31661.2947726134</v>
      </c>
    </row>
    <row r="52" customFormat="false" ht="15" hidden="false" customHeight="false" outlineLevel="0" collapsed="false">
      <c r="A52" s="29" t="s">
        <v>386</v>
      </c>
      <c r="B52" s="60" t="s">
        <v>466</v>
      </c>
      <c r="C52" s="61" t="n">
        <f aca="false">SUM(E52:P52)</f>
        <v>-194150</v>
      </c>
      <c r="D52" s="61" t="n">
        <f aca="false">SUM(Q52:AB52)</f>
        <v>-137248.961857901</v>
      </c>
      <c r="E52" s="62" t="n">
        <f aca="false">-(Tax!E23+Tax!E24)</f>
        <v>-0</v>
      </c>
      <c r="F52" s="62" t="n">
        <f aca="false">-(Tax!F23+Tax!F24)</f>
        <v>-38000</v>
      </c>
      <c r="G52" s="62" t="n">
        <f aca="false">-(Tax!G23+Tax!G24)</f>
        <v>-0</v>
      </c>
      <c r="H52" s="62" t="n">
        <f aca="false">-(Tax!H23+Tax!H24)</f>
        <v>-0</v>
      </c>
      <c r="I52" s="62" t="n">
        <f aca="false">-(Tax!I23+Tax!I24)</f>
        <v>-38000</v>
      </c>
      <c r="J52" s="62" t="n">
        <f aca="false">-(Tax!J23+Tax!J24)</f>
        <v>-0</v>
      </c>
      <c r="K52" s="62" t="n">
        <f aca="false">-(Tax!K23+Tax!K24)</f>
        <v>-28100</v>
      </c>
      <c r="L52" s="62" t="n">
        <f aca="false">-(Tax!L23+Tax!L24)</f>
        <v>-45025</v>
      </c>
      <c r="M52" s="62" t="n">
        <f aca="false">-(Tax!M23+Tax!M24)</f>
        <v>-0</v>
      </c>
      <c r="N52" s="62" t="n">
        <f aca="false">-(Tax!N23+Tax!N24)</f>
        <v>-0</v>
      </c>
      <c r="O52" s="62" t="n">
        <f aca="false">-(Tax!O23+Tax!O24)</f>
        <v>-45025</v>
      </c>
      <c r="P52" s="62" t="n">
        <f aca="false">-(Tax!P23+Tax!P24)</f>
        <v>-0</v>
      </c>
      <c r="Q52" s="62" t="n">
        <f aca="false">-(Tax!Q23+Tax!Q24)</f>
        <v>-0</v>
      </c>
      <c r="R52" s="62" t="n">
        <f aca="false">-(Tax!R23+Tax!R24)</f>
        <v>-34312.2404644752</v>
      </c>
      <c r="S52" s="62" t="n">
        <f aca="false">-(Tax!S23+Tax!S24)</f>
        <v>-0</v>
      </c>
      <c r="T52" s="62" t="n">
        <f aca="false">-(Tax!T23+Tax!T24)</f>
        <v>-0</v>
      </c>
      <c r="U52" s="62" t="n">
        <f aca="false">-(Tax!U23+Tax!U24)</f>
        <v>-34312.2404644752</v>
      </c>
      <c r="V52" s="62" t="n">
        <f aca="false">-(Tax!V23+Tax!V24)</f>
        <v>-0</v>
      </c>
      <c r="W52" s="62" t="n">
        <f aca="false">-(Tax!W23+Tax!W24)</f>
        <v>-0</v>
      </c>
      <c r="X52" s="62" t="n">
        <f aca="false">-(Tax!X23+Tax!X24)</f>
        <v>-34312.2404644752</v>
      </c>
      <c r="Y52" s="62" t="n">
        <f aca="false">-(Tax!Y23+Tax!Y24)</f>
        <v>-0</v>
      </c>
      <c r="Z52" s="62" t="n">
        <f aca="false">-(Tax!Z23+Tax!Z24)</f>
        <v>-0</v>
      </c>
      <c r="AA52" s="62" t="n">
        <f aca="false">-(Tax!AA23+Tax!AA24)</f>
        <v>-34312.2404644752</v>
      </c>
      <c r="AB52" s="62" t="n">
        <f aca="false">-(Tax!AB23+Tax!AB24)</f>
        <v>-0</v>
      </c>
    </row>
    <row r="53" customFormat="false" ht="15" hidden="false" customHeight="false" outlineLevel="0" collapsed="false">
      <c r="A53" s="29" t="s">
        <v>476</v>
      </c>
      <c r="B53" s="60" t="s">
        <v>466</v>
      </c>
      <c r="C53" s="61" t="n">
        <f aca="false">SUM(E53:P53)</f>
        <v>-49742</v>
      </c>
      <c r="D53" s="61" t="n">
        <f aca="false">SUM(Q53:AB53)</f>
        <v>-50094.24</v>
      </c>
      <c r="E53" s="62" t="n">
        <f aca="false">-Fixed_Assets!E25*(1+Assumptions!$C$18)</f>
        <v>-3689</v>
      </c>
      <c r="F53" s="62" t="n">
        <f aca="false">-Fixed_Assets!F25*(1+Assumptions!$C$18)</f>
        <v>-2142</v>
      </c>
      <c r="G53" s="62" t="n">
        <f aca="false">-Fixed_Assets!G25*(1+Assumptions!$C$18)</f>
        <v>-6188</v>
      </c>
      <c r="H53" s="62" t="n">
        <f aca="false">-Fixed_Assets!H25*(1+Assumptions!$C$18)</f>
        <v>-2856</v>
      </c>
      <c r="I53" s="62" t="n">
        <f aca="false">-Fixed_Assets!I25*(1+Assumptions!$C$18)</f>
        <v>-4879</v>
      </c>
      <c r="J53" s="62" t="n">
        <f aca="false">-Fixed_Assets!J25*(1+Assumptions!$C$18)</f>
        <v>-2618</v>
      </c>
      <c r="K53" s="62" t="n">
        <f aca="false">-Fixed_Assets!K25*(1+Assumptions!$C$18)</f>
        <v>-4641</v>
      </c>
      <c r="L53" s="62" t="n">
        <f aca="false">-Fixed_Assets!L25*(1+Assumptions!$C$18)</f>
        <v>-1785</v>
      </c>
      <c r="M53" s="62" t="n">
        <f aca="false">-Fixed_Assets!M25*(1+Assumptions!$C$18)</f>
        <v>-8806</v>
      </c>
      <c r="N53" s="62" t="n">
        <f aca="false">-Fixed_Assets!N25*(1+Assumptions!$C$18)</f>
        <v>-5950</v>
      </c>
      <c r="O53" s="62" t="n">
        <f aca="false">-Fixed_Assets!O25*(1+Assumptions!$C$18)</f>
        <v>-3094</v>
      </c>
      <c r="P53" s="62" t="n">
        <f aca="false">-Fixed_Assets!P25*(1+Assumptions!$C$18)</f>
        <v>-3094</v>
      </c>
      <c r="Q53" s="62" t="n">
        <f aca="false">-Fixed_Assets!Q25*(1+Assumptions!$C$18)</f>
        <v>-7470.82</v>
      </c>
      <c r="R53" s="62" t="n">
        <f aca="false">-Fixed_Assets!R25*(1+Assumptions!$C$18)</f>
        <v>-3186.82</v>
      </c>
      <c r="S53" s="62" t="n">
        <f aca="false">-Fixed_Assets!S25*(1+Assumptions!$C$18)</f>
        <v>-3186.82</v>
      </c>
      <c r="T53" s="62" t="n">
        <f aca="false">-Fixed_Assets!T25*(1+Assumptions!$C$18)</f>
        <v>-5043.22</v>
      </c>
      <c r="U53" s="62" t="n">
        <f aca="false">-Fixed_Assets!U25*(1+Assumptions!$C$18)</f>
        <v>-3186.82</v>
      </c>
      <c r="V53" s="62" t="n">
        <f aca="false">-Fixed_Assets!V25*(1+Assumptions!$C$18)</f>
        <v>-3186.82</v>
      </c>
      <c r="W53" s="62" t="n">
        <f aca="false">-Fixed_Assets!W25*(1+Assumptions!$C$18)</f>
        <v>-3186.82</v>
      </c>
      <c r="X53" s="62" t="n">
        <f aca="false">-Fixed_Assets!X25*(1+Assumptions!$C$18)</f>
        <v>-3186.82</v>
      </c>
      <c r="Y53" s="62" t="n">
        <f aca="false">-Fixed_Assets!Y25*(1+Assumptions!$C$18)</f>
        <v>-8898.82</v>
      </c>
      <c r="Z53" s="62" t="n">
        <f aca="false">-Fixed_Assets!Z25*(1+Assumptions!$C$18)</f>
        <v>-3186.82</v>
      </c>
      <c r="AA53" s="62" t="n">
        <f aca="false">-Fixed_Assets!AA25*(1+Assumptions!$C$18)</f>
        <v>-3186.82</v>
      </c>
      <c r="AB53" s="62" t="n">
        <f aca="false">-Fixed_Assets!AB25*(1+Assumptions!$C$18)</f>
        <v>-3186.82</v>
      </c>
    </row>
    <row r="54" customFormat="false" ht="15" hidden="false" customHeight="false" outlineLevel="0" collapsed="false">
      <c r="A54" s="29" t="s">
        <v>477</v>
      </c>
      <c r="B54" s="60" t="s">
        <v>466</v>
      </c>
      <c r="C54" s="61" t="n">
        <f aca="false">SUM(E54:P54)</f>
        <v>-6037.437</v>
      </c>
      <c r="D54" s="61" t="n">
        <f aca="false">SUM(Q54:AB54)</f>
        <v>-3937.269</v>
      </c>
      <c r="E54" s="62" t="n">
        <f aca="false">-(Financing!E12+Financing!E13)</f>
        <v>-583.3345</v>
      </c>
      <c r="F54" s="62" t="n">
        <f aca="false">-(Financing!F12+Financing!F13)</f>
        <v>-568.75</v>
      </c>
      <c r="G54" s="62" t="n">
        <f aca="false">-(Financing!G12+Financing!G13)</f>
        <v>-554.1655</v>
      </c>
      <c r="H54" s="62" t="n">
        <f aca="false">-(Financing!H12+Financing!H13)</f>
        <v>-539.581</v>
      </c>
      <c r="I54" s="62" t="n">
        <f aca="false">-(Financing!I12+Financing!I13)</f>
        <v>-524.9965</v>
      </c>
      <c r="J54" s="62" t="n">
        <f aca="false">-(Financing!J12+Financing!J13)</f>
        <v>-510.412</v>
      </c>
      <c r="K54" s="62" t="n">
        <f aca="false">-(Financing!K12+Financing!K13)</f>
        <v>-495.8275</v>
      </c>
      <c r="L54" s="62" t="n">
        <f aca="false">-(Financing!L12+Financing!L13)</f>
        <v>-481.243</v>
      </c>
      <c r="M54" s="62" t="n">
        <f aca="false">-(Financing!M12+Financing!M13)</f>
        <v>-466.6585</v>
      </c>
      <c r="N54" s="62" t="n">
        <f aca="false">-(Financing!N12+Financing!N13)</f>
        <v>-452.074</v>
      </c>
      <c r="O54" s="62" t="n">
        <f aca="false">-(Financing!O12+Financing!O13)</f>
        <v>-437.4895</v>
      </c>
      <c r="P54" s="62" t="n">
        <f aca="false">-(Financing!P12+Financing!P13)</f>
        <v>-422.905</v>
      </c>
      <c r="Q54" s="62" t="n">
        <f aca="false">-(Financing!Q12+Financing!Q13)</f>
        <v>-408.3205</v>
      </c>
      <c r="R54" s="62" t="n">
        <f aca="false">-(Financing!R12+Financing!R13)</f>
        <v>-393.736</v>
      </c>
      <c r="S54" s="62" t="n">
        <f aca="false">-(Financing!S12+Financing!S13)</f>
        <v>-379.1515</v>
      </c>
      <c r="T54" s="62" t="n">
        <f aca="false">-(Financing!T12+Financing!T13)</f>
        <v>-364.567</v>
      </c>
      <c r="U54" s="62" t="n">
        <f aca="false">-(Financing!U12+Financing!U13)</f>
        <v>-349.9825</v>
      </c>
      <c r="V54" s="62" t="n">
        <f aca="false">-(Financing!V12+Financing!V13)</f>
        <v>-335.398</v>
      </c>
      <c r="W54" s="62" t="n">
        <f aca="false">-(Financing!W12+Financing!W13)</f>
        <v>-320.8135</v>
      </c>
      <c r="X54" s="62" t="n">
        <f aca="false">-(Financing!X12+Financing!X13)</f>
        <v>-306.229</v>
      </c>
      <c r="Y54" s="62" t="n">
        <f aca="false">-(Financing!Y12+Financing!Y13)</f>
        <v>-291.6445</v>
      </c>
      <c r="Z54" s="62" t="n">
        <f aca="false">-(Financing!Z12+Financing!Z13)</f>
        <v>-277.06</v>
      </c>
      <c r="AA54" s="62" t="n">
        <f aca="false">-(Financing!AA12+Financing!AA13)</f>
        <v>-262.4755</v>
      </c>
      <c r="AB54" s="62" t="n">
        <f aca="false">-(Financing!AB12+Financing!AB13)</f>
        <v>-247.891</v>
      </c>
    </row>
    <row r="55" customFormat="false" ht="15" hidden="false" customHeight="false" outlineLevel="0" collapsed="false">
      <c r="A55" s="29" t="s">
        <v>478</v>
      </c>
      <c r="B55" s="60" t="s">
        <v>466</v>
      </c>
      <c r="C55" s="61" t="n">
        <f aca="false">SUM(E55:P55)</f>
        <v>-50004</v>
      </c>
      <c r="D55" s="61" t="n">
        <f aca="false">SUM(Q55:AB55)</f>
        <v>-50004</v>
      </c>
      <c r="E55" s="62" t="n">
        <f aca="false">Financing!E10</f>
        <v>-4167</v>
      </c>
      <c r="F55" s="62" t="n">
        <f aca="false">Financing!F10</f>
        <v>-4167</v>
      </c>
      <c r="G55" s="62" t="n">
        <f aca="false">Financing!G10</f>
        <v>-4167</v>
      </c>
      <c r="H55" s="62" t="n">
        <f aca="false">Financing!H10</f>
        <v>-4167</v>
      </c>
      <c r="I55" s="62" t="n">
        <f aca="false">Financing!I10</f>
        <v>-4167</v>
      </c>
      <c r="J55" s="62" t="n">
        <f aca="false">Financing!J10</f>
        <v>-4167</v>
      </c>
      <c r="K55" s="62" t="n">
        <f aca="false">Financing!K10</f>
        <v>-4167</v>
      </c>
      <c r="L55" s="62" t="n">
        <f aca="false">Financing!L10</f>
        <v>-4167</v>
      </c>
      <c r="M55" s="62" t="n">
        <f aca="false">Financing!M10</f>
        <v>-4167</v>
      </c>
      <c r="N55" s="62" t="n">
        <f aca="false">Financing!N10</f>
        <v>-4167</v>
      </c>
      <c r="O55" s="62" t="n">
        <f aca="false">Financing!O10</f>
        <v>-4167</v>
      </c>
      <c r="P55" s="62" t="n">
        <f aca="false">Financing!P10</f>
        <v>-4167</v>
      </c>
      <c r="Q55" s="62" t="n">
        <f aca="false">Financing!Q10</f>
        <v>-4167</v>
      </c>
      <c r="R55" s="62" t="n">
        <f aca="false">Financing!R10</f>
        <v>-4167</v>
      </c>
      <c r="S55" s="62" t="n">
        <f aca="false">Financing!S10</f>
        <v>-4167</v>
      </c>
      <c r="T55" s="62" t="n">
        <f aca="false">Financing!T10</f>
        <v>-4167</v>
      </c>
      <c r="U55" s="62" t="n">
        <f aca="false">Financing!U10</f>
        <v>-4167</v>
      </c>
      <c r="V55" s="62" t="n">
        <f aca="false">Financing!V10</f>
        <v>-4167</v>
      </c>
      <c r="W55" s="62" t="n">
        <f aca="false">Financing!W10</f>
        <v>-4167</v>
      </c>
      <c r="X55" s="62" t="n">
        <f aca="false">Financing!X10</f>
        <v>-4167</v>
      </c>
      <c r="Y55" s="62" t="n">
        <f aca="false">Financing!Y10</f>
        <v>-4167</v>
      </c>
      <c r="Z55" s="62" t="n">
        <f aca="false">Financing!Z10</f>
        <v>-4167</v>
      </c>
      <c r="AA55" s="62" t="n">
        <f aca="false">Financing!AA10</f>
        <v>-4167</v>
      </c>
      <c r="AB55" s="62" t="n">
        <f aca="false">Financing!AB10</f>
        <v>-4167</v>
      </c>
    </row>
    <row r="56" customFormat="false" ht="15" hidden="false" customHeight="false" outlineLevel="0" collapsed="false">
      <c r="A56" s="29" t="s">
        <v>479</v>
      </c>
      <c r="B56" s="60" t="s">
        <v>466</v>
      </c>
      <c r="C56" s="61" t="n">
        <f aca="false">SUM(E56:P56)</f>
        <v>-450000</v>
      </c>
      <c r="D56" s="61" t="n">
        <f aca="false">SUM(Q56:AB56)</f>
        <v>-317322.210560669</v>
      </c>
      <c r="E56" s="62" t="n">
        <f aca="false">-Financing!E17</f>
        <v>-0</v>
      </c>
      <c r="F56" s="62" t="n">
        <f aca="false">-Financing!F17</f>
        <v>-0</v>
      </c>
      <c r="G56" s="62" t="n">
        <f aca="false">-Financing!G17</f>
        <v>-0</v>
      </c>
      <c r="H56" s="62" t="n">
        <f aca="false">-Financing!H17</f>
        <v>-0</v>
      </c>
      <c r="I56" s="62" t="n">
        <f aca="false">-Financing!I17</f>
        <v>-0</v>
      </c>
      <c r="J56" s="62" t="n">
        <f aca="false">-Financing!J17</f>
        <v>-450000</v>
      </c>
      <c r="K56" s="62" t="n">
        <f aca="false">-Financing!K17</f>
        <v>-0</v>
      </c>
      <c r="L56" s="62" t="n">
        <f aca="false">-Financing!L17</f>
        <v>-0</v>
      </c>
      <c r="M56" s="62" t="n">
        <f aca="false">-Financing!M17</f>
        <v>-0</v>
      </c>
      <c r="N56" s="62" t="n">
        <f aca="false">-Financing!N17</f>
        <v>-0</v>
      </c>
      <c r="O56" s="62" t="n">
        <f aca="false">-Financing!O17</f>
        <v>-0</v>
      </c>
      <c r="P56" s="62" t="n">
        <f aca="false">-Financing!P17</f>
        <v>-0</v>
      </c>
      <c r="Q56" s="62" t="n">
        <f aca="false">-Financing!Q17</f>
        <v>-0</v>
      </c>
      <c r="R56" s="62" t="n">
        <f aca="false">-Financing!R17</f>
        <v>-0</v>
      </c>
      <c r="S56" s="62" t="n">
        <f aca="false">-Financing!S17</f>
        <v>-0</v>
      </c>
      <c r="T56" s="62" t="n">
        <f aca="false">-Financing!T17</f>
        <v>-0</v>
      </c>
      <c r="U56" s="62" t="n">
        <f aca="false">-Financing!U17</f>
        <v>-0</v>
      </c>
      <c r="V56" s="62" t="n">
        <f aca="false">-Financing!V17</f>
        <v>-317322.210560669</v>
      </c>
      <c r="W56" s="62" t="n">
        <f aca="false">-Financing!W17</f>
        <v>-0</v>
      </c>
      <c r="X56" s="62" t="n">
        <f aca="false">-Financing!X17</f>
        <v>-0</v>
      </c>
      <c r="Y56" s="62" t="n">
        <f aca="false">-Financing!Y17</f>
        <v>-0</v>
      </c>
      <c r="Z56" s="62" t="n">
        <f aca="false">-Financing!Z17</f>
        <v>-0</v>
      </c>
      <c r="AA56" s="62" t="n">
        <f aca="false">-Financing!AA17</f>
        <v>-0</v>
      </c>
      <c r="AB56" s="62" t="n">
        <f aca="false">-Financing!AB17</f>
        <v>-0</v>
      </c>
    </row>
    <row r="57" customFormat="false" ht="15" hidden="false" customHeight="false" outlineLevel="0" collapsed="false">
      <c r="A57" s="68" t="s">
        <v>480</v>
      </c>
      <c r="B57" s="69"/>
      <c r="C57" s="70" t="n">
        <f aca="false">SUM(E57:P57)</f>
        <v>-482330.061681059</v>
      </c>
      <c r="D57" s="70" t="n">
        <f aca="false">SUM(Q57:AB57)</f>
        <v>444390.270644932</v>
      </c>
      <c r="E57" s="70" t="n">
        <f aca="false">E40+E41+E42+E43+E44+E45+E46+E47+E48+E49+E50+E51+E52+E53+E54+E55+E56</f>
        <v>127178.873966667</v>
      </c>
      <c r="F57" s="70" t="n">
        <f aca="false">F40+F41+F42+F43+F44+F45+F46+F47+F48+F49+F50+F51+F52+F53+F54+F55+F56</f>
        <v>-51668.0007333334</v>
      </c>
      <c r="G57" s="70" t="n">
        <f aca="false">G40+G41+G42+G43+G44+G45+G46+G47+G48+G49+G50+G51+G52+G53+G54+G55+G56</f>
        <v>-347436.73511</v>
      </c>
      <c r="H57" s="70" t="n">
        <f aca="false">H40+H41+H42+H43+H44+H45+H46+H47+H48+H49+H50+H51+H52+H53+H54+H55+H56</f>
        <v>-103649.159646667</v>
      </c>
      <c r="I57" s="70" t="n">
        <f aca="false">I40+I41+I42+I43+I44+I45+I46+I47+I48+I49+I50+I51+I52+I53+I54+I55+I56</f>
        <v>60707.34475</v>
      </c>
      <c r="J57" s="70" t="n">
        <f aca="false">J40+J41+J42+J43+J44+J45+J46+J47+J48+J49+J50+J51+J52+J53+J54+J55+J56</f>
        <v>-513515.471235</v>
      </c>
      <c r="K57" s="70" t="n">
        <f aca="false">K40+K41+K42+K43+K44+K45+K46+K47+K48+K49+K50+K51+K52+K53+K54+K55+K56</f>
        <v>27898.4931550001</v>
      </c>
      <c r="L57" s="70" t="n">
        <f aca="false">L40+L41+L42+L43+L44+L45+L46+L47+L48+L49+L50+L51+L52+L53+L54+L55+L56</f>
        <v>61435.4771049999</v>
      </c>
      <c r="M57" s="70" t="n">
        <f aca="false">M40+M41+M42+M43+M44+M45+M46+M47+M48+M49+M50+M51+M52+M53+M54+M55+M56</f>
        <v>10614.9909201266</v>
      </c>
      <c r="N57" s="70" t="n">
        <f aca="false">N40+N41+N42+N43+N44+N45+N46+N47+N48+N49+N50+N51+N52+N53+N54+N55+N56</f>
        <v>-17702.8708657286</v>
      </c>
      <c r="O57" s="70" t="n">
        <f aca="false">O40+O41+O42+O43+O44+O45+O46+O47+O48+O49+O50+O51+O52+O53+O54+O55+O56</f>
        <v>125927.951748055</v>
      </c>
      <c r="P57" s="70" t="n">
        <f aca="false">P40+P41+P42+P43+P44+P45+P46+P47+P48+P49+P50+P51+P52+P53+P54+P55+P56</f>
        <v>137879.044264821</v>
      </c>
      <c r="Q57" s="70" t="n">
        <f aca="false">Q40+Q41+Q42+Q43+Q44+Q45+Q46+Q47+Q48+Q49+Q50+Q51+Q52+Q53+Q54+Q55+Q56</f>
        <v>173275.863538493</v>
      </c>
      <c r="R57" s="70" t="n">
        <f aca="false">R40+R41+R42+R43+R44+R45+R46+R47+R48+R49+R50+R51+R52+R53+R54+R55+R56</f>
        <v>92444.8078679495</v>
      </c>
      <c r="S57" s="70" t="n">
        <f aca="false">S40+S41+S42+S43+S44+S45+S46+S47+S48+S49+S50+S51+S52+S53+S54+S55+S56</f>
        <v>-115355.144417629</v>
      </c>
      <c r="T57" s="70" t="n">
        <f aca="false">T40+T41+T42+T43+T44+T45+T46+T47+T48+T49+T50+T51+T52+T53+T54+T55+T56</f>
        <v>-6840.80690473004</v>
      </c>
      <c r="U57" s="70" t="n">
        <f aca="false">U40+U41+U42+U43+U44+U45+U46+U47+U48+U49+U50+U51+U52+U53+U54+U55+U56</f>
        <v>79083.3120003197</v>
      </c>
      <c r="V57" s="70" t="n">
        <f aca="false">V40+V41+V42+V43+V44+V45+V46+V47+V48+V49+V50+V51+V52+V53+V54+V55+V56</f>
        <v>-148979.84919735</v>
      </c>
      <c r="W57" s="70" t="n">
        <f aca="false">W40+W41+W42+W43+W44+W45+W46+W47+W48+W49+W50+W51+W52+W53+W54+W55+W56</f>
        <v>7465.38953671902</v>
      </c>
      <c r="X57" s="70" t="n">
        <f aca="false">X40+X41+X42+X43+X44+X45+X46+X47+X48+X49+X50+X51+X52+X53+X54+X55+X56</f>
        <v>81346.0244617645</v>
      </c>
      <c r="Y57" s="70" t="n">
        <f aca="false">Y40+Y41+Y42+Y43+Y44+Y45+Y46+Y47+Y48+Y49+Y50+Y51+Y52+Y53+Y54+Y55+Y56</f>
        <v>95788.4129657144</v>
      </c>
      <c r="Z57" s="70" t="n">
        <f aca="false">Z40+Z41+Z42+Z43+Z44+Z45+Z46+Z47+Z48+Z49+Z50+Z51+Z52+Z53+Z54+Z55+Z56</f>
        <v>26355.2138930096</v>
      </c>
      <c r="AA57" s="70" t="n">
        <f aca="false">AA40+AA41+AA42+AA43+AA44+AA45+AA46+AA47+AA48+AA49+AA50+AA51+AA52+AA53+AA54+AA55+AA56</f>
        <v>109652.587450168</v>
      </c>
      <c r="AB57" s="70" t="n">
        <f aca="false">AB40+AB41+AB42+AB43+AB44+AB45+AB46+AB47+AB48+AB49+AB50+AB51+AB52+AB53+AB54+AB55+AB56</f>
        <v>50154.4594505036</v>
      </c>
    </row>
    <row r="58" customFormat="false" ht="15" hidden="false" customHeight="false" outlineLevel="0" collapsed="false">
      <c r="A58" s="68" t="s">
        <v>481</v>
      </c>
      <c r="B58" s="69"/>
      <c r="C58" s="70" t="n">
        <f aca="false">SUM(E58:P58)</f>
        <v>0</v>
      </c>
      <c r="D58" s="70" t="n">
        <f aca="false">SUM(Q58:AB58)</f>
        <v>0</v>
      </c>
      <c r="E58" s="70" t="n">
        <f aca="false">ROUND(E35-E57,2)</f>
        <v>0</v>
      </c>
      <c r="F58" s="70" t="n">
        <f aca="false">ROUND(F35-F57,2)</f>
        <v>0</v>
      </c>
      <c r="G58" s="70" t="n">
        <f aca="false">ROUND(G35-G57,2)</f>
        <v>0</v>
      </c>
      <c r="H58" s="70" t="n">
        <f aca="false">ROUND(H35-H57,2)</f>
        <v>0</v>
      </c>
      <c r="I58" s="70" t="n">
        <f aca="false">ROUND(I35-I57,2)</f>
        <v>0</v>
      </c>
      <c r="J58" s="70" t="n">
        <f aca="false">ROUND(J35-J57,2)</f>
        <v>0</v>
      </c>
      <c r="K58" s="70" t="n">
        <f aca="false">ROUND(K35-K57,2)</f>
        <v>-0</v>
      </c>
      <c r="L58" s="70" t="n">
        <f aca="false">ROUND(L35-L57,2)</f>
        <v>0</v>
      </c>
      <c r="M58" s="70" t="n">
        <f aca="false">ROUND(M35-M57,2)</f>
        <v>0</v>
      </c>
      <c r="N58" s="70" t="n">
        <f aca="false">ROUND(N35-N57,2)</f>
        <v>-0</v>
      </c>
      <c r="O58" s="70" t="n">
        <f aca="false">ROUND(O35-O57,2)</f>
        <v>0</v>
      </c>
      <c r="P58" s="70" t="n">
        <f aca="false">ROUND(P35-P57,2)</f>
        <v>0</v>
      </c>
      <c r="Q58" s="70" t="n">
        <f aca="false">ROUND(Q35-Q57,2)</f>
        <v>0</v>
      </c>
      <c r="R58" s="70" t="n">
        <f aca="false">ROUND(R35-R57,2)</f>
        <v>0</v>
      </c>
      <c r="S58" s="70" t="n">
        <f aca="false">ROUND(S35-S57,2)</f>
        <v>0</v>
      </c>
      <c r="T58" s="70" t="n">
        <f aca="false">ROUND(T35-T57,2)</f>
        <v>0</v>
      </c>
      <c r="U58" s="70" t="n">
        <f aca="false">ROUND(U35-U57,2)</f>
        <v>0</v>
      </c>
      <c r="V58" s="70" t="n">
        <f aca="false">ROUND(V35-V57,2)</f>
        <v>0</v>
      </c>
      <c r="W58" s="70" t="n">
        <f aca="false">ROUND(W35-W57,2)</f>
        <v>-0</v>
      </c>
      <c r="X58" s="70" t="n">
        <f aca="false">ROUND(X35-X57,2)</f>
        <v>0</v>
      </c>
      <c r="Y58" s="70" t="n">
        <f aca="false">ROUND(Y35-Y57,2)</f>
        <v>0</v>
      </c>
      <c r="Z58" s="70" t="n">
        <f aca="false">ROUND(Z35-Z57,2)</f>
        <v>0</v>
      </c>
      <c r="AA58" s="70" t="n">
        <f aca="false">ROUND(AA35-AA57,2)</f>
        <v>0</v>
      </c>
      <c r="AB58" s="70" t="n">
        <f aca="false">ROUND(AB35-AB57,2)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70"/>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482</v>
      </c>
    </row>
    <row r="3" customFormat="false" ht="15" hidden="false" customHeight="false" outlineLevel="0" collapsed="false">
      <c r="A3" s="26" t="s">
        <v>483</v>
      </c>
    </row>
    <row r="5" customFormat="false" ht="15" hidden="false" customHeight="false" outlineLevel="0" collapsed="false">
      <c r="A5" s="27" t="s">
        <v>303</v>
      </c>
      <c r="B5" s="28" t="s">
        <v>484</v>
      </c>
      <c r="C5" s="28" t="s">
        <v>485</v>
      </c>
      <c r="D5" s="28" t="s">
        <v>486</v>
      </c>
      <c r="E5" s="28" t="s">
        <v>487</v>
      </c>
      <c r="F5" s="28" t="s">
        <v>488</v>
      </c>
      <c r="G5" s="28" t="s">
        <v>489</v>
      </c>
      <c r="H5" s="28" t="s">
        <v>486</v>
      </c>
      <c r="I5" s="28" t="s">
        <v>487</v>
      </c>
      <c r="J5" s="28" t="s">
        <v>490</v>
      </c>
    </row>
    <row r="6" customFormat="false" ht="15" hidden="false" customHeight="false" outlineLevel="0" collapsed="false">
      <c r="A6" s="23" t="s">
        <v>491</v>
      </c>
      <c r="B6" s="24"/>
      <c r="C6" s="24"/>
      <c r="D6" s="24"/>
      <c r="E6" s="24"/>
      <c r="F6" s="24"/>
      <c r="G6" s="24"/>
      <c r="H6" s="24"/>
      <c r="I6" s="24"/>
      <c r="J6" s="24"/>
    </row>
    <row r="7" customFormat="false" ht="15" hidden="false" customHeight="false" outlineLevel="0" collapsed="false">
      <c r="A7" s="29" t="s">
        <v>492</v>
      </c>
      <c r="B7" s="67" t="n">
        <f aca="false">SUMIFS(Engagements!$E$581:$AB$581,Assumptions!$E$188:$AB$188,"A")</f>
        <v>10161.6</v>
      </c>
      <c r="C7" s="67" t="n">
        <f aca="false">SUMIFS(Budget_FY26!$E$9:$P$9,Assumptions!$E$187:$P$187,"&lt;="&amp;Assumptions!$C$10)</f>
        <v>9890</v>
      </c>
      <c r="D7" s="72" t="n">
        <f aca="false">B7-C7</f>
        <v>271.6</v>
      </c>
      <c r="E7" s="64" t="n">
        <f aca="false">IF(C7=0,0,D7/ABS(C7))</f>
        <v>0.0274620829120324</v>
      </c>
      <c r="F7" s="67" t="n">
        <f aca="false">Engagements!$C$581</f>
        <v>16028.949252772</v>
      </c>
      <c r="G7" s="67" t="n">
        <f aca="false">Budget_FY26!$C$9</f>
        <v>15300</v>
      </c>
      <c r="H7" s="72" t="n">
        <f aca="false">F7-G7</f>
        <v>728.949252771963</v>
      </c>
      <c r="I7" s="64" t="n">
        <f aca="false">IF(G7=0,0,H7/ABS(G7))</f>
        <v>0.0476437420112394</v>
      </c>
    </row>
    <row r="8" customFormat="false" ht="15" hidden="false" customHeight="false" outlineLevel="0" collapsed="false">
      <c r="A8" s="29" t="s">
        <v>493</v>
      </c>
      <c r="B8" s="67" t="n">
        <f aca="false">SUMIFS(Engagements!$E$586:$AB$586,Assumptions!$E$188:$AB$188,"A")</f>
        <v>7823.3</v>
      </c>
      <c r="C8" s="67" t="n">
        <f aca="false">SUMIFS(Budget_FY26!$E$10:$P$10,Assumptions!$E$187:$P$187,"&lt;="&amp;Assumptions!$C$10)</f>
        <v>7830</v>
      </c>
      <c r="D8" s="72" t="n">
        <f aca="false">B8-C8</f>
        <v>-6.69999999999982</v>
      </c>
      <c r="E8" s="64" t="n">
        <f aca="false">IF(C8=0,0,D8/ABS(C8))</f>
        <v>-0.00085568326947635</v>
      </c>
      <c r="F8" s="67" t="n">
        <f aca="false">Engagements!$C$586</f>
        <v>12347.3099197425</v>
      </c>
      <c r="G8" s="67" t="n">
        <f aca="false">Budget_FY26!$C$10</f>
        <v>12170</v>
      </c>
      <c r="H8" s="72" t="n">
        <f aca="false">F8-G8</f>
        <v>177.309919742545</v>
      </c>
      <c r="I8" s="64" t="n">
        <f aca="false">IF(G8=0,0,H8/ABS(G8))</f>
        <v>0.0145694264373497</v>
      </c>
    </row>
    <row r="9" customFormat="false" ht="15" hidden="false" customHeight="false" outlineLevel="0" collapsed="false">
      <c r="A9" s="29" t="s">
        <v>494</v>
      </c>
      <c r="B9" s="67" t="n">
        <f aca="false">SUMIFS(Engagements!$E$591:$AB$591,Assumptions!$E$188:$AB$188,"A")</f>
        <v>7067.2</v>
      </c>
      <c r="C9" s="67" t="n">
        <f aca="false">SUMIFS(Budget_FY26!$E$11:$P$11,Assumptions!$E$187:$P$187,"&lt;="&amp;Assumptions!$C$10)</f>
        <v>8620</v>
      </c>
      <c r="D9" s="72" t="n">
        <f aca="false">B9-C9</f>
        <v>-1552.8</v>
      </c>
      <c r="E9" s="64" t="n">
        <f aca="false">IF(C9=0,0,D9/ABS(C9))</f>
        <v>-0.180139211136891</v>
      </c>
      <c r="F9" s="67" t="n">
        <f aca="false">Engagements!$C$591</f>
        <v>12264.6776048324</v>
      </c>
      <c r="G9" s="67" t="n">
        <f aca="false">Budget_FY26!$C$11</f>
        <v>13320</v>
      </c>
      <c r="H9" s="72" t="n">
        <f aca="false">F9-G9</f>
        <v>-1055.32239516761</v>
      </c>
      <c r="I9" s="64" t="n">
        <f aca="false">IF(G9=0,0,H9/ABS(G9))</f>
        <v>-0.0792284080456161</v>
      </c>
    </row>
    <row r="10" customFormat="false" ht="15" hidden="false" customHeight="false" outlineLevel="0" collapsed="false">
      <c r="A10" s="23" t="s">
        <v>343</v>
      </c>
      <c r="B10" s="24"/>
      <c r="C10" s="24"/>
      <c r="D10" s="24"/>
      <c r="E10" s="24"/>
      <c r="F10" s="24"/>
      <c r="G10" s="24"/>
      <c r="H10" s="24"/>
      <c r="I10" s="24"/>
      <c r="J10" s="24"/>
    </row>
    <row r="11" customFormat="false" ht="15" hidden="false" customHeight="false" outlineLevel="0" collapsed="false">
      <c r="A11" s="29" t="s">
        <v>495</v>
      </c>
      <c r="B11" s="62" t="n">
        <f aca="false">SUMIFS(Engagements!$E$583:$AB$583,Assumptions!$E$188:$AB$188,"A")</f>
        <v>1751228.84</v>
      </c>
      <c r="C11" s="62" t="n">
        <f aca="false">SUMIFS(Budget_FY26!$E$14:$P$14,Assumptions!$E$187:$P$187,"&lt;="&amp;Assumptions!$C$10)</f>
        <v>1780200</v>
      </c>
      <c r="D11" s="71" t="n">
        <f aca="false">B11-C11</f>
        <v>-28971.1599999999</v>
      </c>
      <c r="E11" s="64" t="n">
        <f aca="false">IF(C11=0,0,D11/ABS(C11))</f>
        <v>-0.0162741040332546</v>
      </c>
      <c r="F11" s="62" t="n">
        <f aca="false">Engagements!$C$583</f>
        <v>2803976.01215524</v>
      </c>
      <c r="G11" s="62" t="n">
        <f aca="false">Budget_FY26!$C$14</f>
        <v>2754000</v>
      </c>
      <c r="H11" s="71" t="n">
        <f aca="false">F11-G11</f>
        <v>49976.0121552427</v>
      </c>
      <c r="I11" s="64" t="n">
        <f aca="false">IF(G11=0,0,H11/ABS(G11))</f>
        <v>0.0181467001289916</v>
      </c>
      <c r="J11" s="48" t="str">
        <f aca="false">"Hours ahead of budget; EUR "&amp;TEXT(ABS(BvA!I53)/1000,"#,##0")&amp;"k lost on rate, with EUR "&amp;TEXT((SUMIFS(Engagements!$E$61:$AB$61,Assumptions!$E$188:$AB$188,"A")-SUMIFS(Engagements!$E$64:$AB$64,Assumptions!$E$188:$AB$188,"A"))/1000,"#,##0")&amp;"k of Norlach time above its cap."</f>
        <v>Hours ahead of budget; EUR 78k lost on rate, with EUR 89k of Norlach time above its cap.</v>
      </c>
    </row>
    <row r="12" customFormat="false" ht="15" hidden="false" customHeight="false" outlineLevel="0" collapsed="false">
      <c r="A12" s="29" t="s">
        <v>496</v>
      </c>
      <c r="B12" s="62" t="n">
        <f aca="false">SUMIFS(Engagements!$E$588:$AB$588,Assumptions!$E$188:$AB$188,"A")</f>
        <v>1413034.12</v>
      </c>
      <c r="C12" s="62" t="n">
        <f aca="false">SUMIFS(Budget_FY26!$E$15:$P$15,Assumptions!$E$187:$P$187,"&lt;="&amp;Assumptions!$C$10)</f>
        <v>1393740</v>
      </c>
      <c r="D12" s="71" t="n">
        <f aca="false">B12-C12</f>
        <v>19294.1200000001</v>
      </c>
      <c r="E12" s="64" t="n">
        <f aca="false">IF(C12=0,0,D12/ABS(C12))</f>
        <v>0.0138434141231507</v>
      </c>
      <c r="F12" s="62" t="n">
        <f aca="false">Engagements!$C$588</f>
        <v>2228712.7672907</v>
      </c>
      <c r="G12" s="62" t="n">
        <f aca="false">Budget_FY26!$C$15</f>
        <v>2166260</v>
      </c>
      <c r="H12" s="71" t="n">
        <f aca="false">F12-G12</f>
        <v>62452.7672906951</v>
      </c>
      <c r="I12" s="64" t="n">
        <f aca="false">IF(G12=0,0,H12/ABS(G12))</f>
        <v>0.0288297652593387</v>
      </c>
    </row>
    <row r="13" customFormat="false" ht="22.35" hidden="false" customHeight="false" outlineLevel="0" collapsed="false">
      <c r="A13" s="29" t="s">
        <v>497</v>
      </c>
      <c r="B13" s="62" t="n">
        <f aca="false">SUMIFS(Engagements!$E$593:$AB$593,Assumptions!$E$188:$AB$188,"A")</f>
        <v>1291027.88</v>
      </c>
      <c r="C13" s="62" t="n">
        <f aca="false">SUMIFS(Budget_FY26!$E$16:$P$16,Assumptions!$E$187:$P$187,"&lt;="&amp;Assumptions!$C$10)</f>
        <v>1586080</v>
      </c>
      <c r="D13" s="71" t="n">
        <f aca="false">B13-C13</f>
        <v>-295052.12</v>
      </c>
      <c r="E13" s="64" t="n">
        <f aca="false">IF(C13=0,0,D13/ABS(C13))</f>
        <v>-0.186026001210532</v>
      </c>
      <c r="F13" s="62" t="n">
        <f aca="false">Engagements!$C$593</f>
        <v>2221873.00363952</v>
      </c>
      <c r="G13" s="62" t="n">
        <f aca="false">Budget_FY26!$C$16</f>
        <v>2450880</v>
      </c>
      <c r="H13" s="71" t="n">
        <f aca="false">F13-G13</f>
        <v>-229006.996360479</v>
      </c>
      <c r="I13" s="64" t="n">
        <f aca="false">IF(G13=0,0,H13/ABS(G13))</f>
        <v>-0.0934386817634804</v>
      </c>
      <c r="J13" s="48" t="str">
        <f aca="false">"No new digital engagement between Varnholt (March) and Sauerbeck (July); subcontractors covered the June leaver."</f>
        <v>No new digital engagement between Varnholt (March) and Sauerbeck (July); subcontractors covered the June leaver.</v>
      </c>
    </row>
    <row r="14" customFormat="false" ht="15" hidden="false" customHeight="false" outlineLevel="0" collapsed="false">
      <c r="A14" s="73" t="s">
        <v>349</v>
      </c>
      <c r="B14" s="74" t="n">
        <f aca="false">SUMIFS(PL!$E$12:$AB$12,Assumptions!$E$188:$AB$188,"A")</f>
        <v>4455290.84</v>
      </c>
      <c r="C14" s="74" t="n">
        <f aca="false">SUMIFS(Budget_FY26!$E$17:$P$17,Assumptions!$E$187:$P$187,"&lt;="&amp;Assumptions!$C$10)</f>
        <v>4760020</v>
      </c>
      <c r="D14" s="70" t="n">
        <f aca="false">B14-C14</f>
        <v>-304729.16</v>
      </c>
      <c r="E14" s="75" t="n">
        <f aca="false">IF(C14=0,0,D14/ABS(C14))</f>
        <v>-0.0640184621073021</v>
      </c>
      <c r="F14" s="74" t="n">
        <f aca="false">PL!$C$12</f>
        <v>7254561.78308546</v>
      </c>
      <c r="G14" s="74" t="n">
        <f aca="false">Budget_FY26!$C$17</f>
        <v>7371140</v>
      </c>
      <c r="H14" s="70" t="n">
        <f aca="false">F14-G14</f>
        <v>-116578.216914541</v>
      </c>
      <c r="I14" s="75" t="n">
        <f aca="false">IF(G14=0,0,H14/ABS(G14))</f>
        <v>-0.0158154935212926</v>
      </c>
      <c r="J14" s="76"/>
    </row>
    <row r="15" customFormat="false" ht="15" hidden="false" customHeight="false" outlineLevel="0" collapsed="false">
      <c r="A15" s="29" t="s">
        <v>498</v>
      </c>
      <c r="B15" s="62" t="n">
        <f aca="false">SUMIFS(PL!$E$13:$AB$13,Assumptions!$E$188:$AB$188,"A")</f>
        <v>248974.3</v>
      </c>
      <c r="C15" s="62" t="n">
        <f aca="false">SUMIFS(Budget_FY26!$E$18:$P$18,Assumptions!$E$187:$P$187,"&lt;="&amp;Assumptions!$C$10)</f>
        <v>224700</v>
      </c>
      <c r="D15" s="71" t="n">
        <f aca="false">B15-C15</f>
        <v>24274.3</v>
      </c>
      <c r="E15" s="64" t="n">
        <f aca="false">IF(C15=0,0,D15/ABS(C15))</f>
        <v>0.10802981753449</v>
      </c>
      <c r="F15" s="62" t="n">
        <f aca="false">PL!$C$13</f>
        <v>409132.009334193</v>
      </c>
      <c r="G15" s="62" t="n">
        <f aca="false">Budget_FY26!$C$18</f>
        <v>348100</v>
      </c>
      <c r="H15" s="71" t="n">
        <f aca="false">F15-G15</f>
        <v>61032.0093341932</v>
      </c>
      <c r="I15" s="64" t="n">
        <f aca="false">IF(G15=0,0,H15/ABS(G15))</f>
        <v>0.17532895528352</v>
      </c>
    </row>
    <row r="16" customFormat="false" ht="15" hidden="false" customHeight="false" outlineLevel="0" collapsed="false">
      <c r="A16" s="73" t="s">
        <v>351</v>
      </c>
      <c r="B16" s="74" t="n">
        <f aca="false">SUMIFS(PL!$E$14:$AB$14,Assumptions!$E$188:$AB$188,"A")</f>
        <v>4704265.14</v>
      </c>
      <c r="C16" s="74" t="n">
        <f aca="false">SUMIFS(Budget_FY26!$E$19:$P$19,Assumptions!$E$187:$P$187,"&lt;="&amp;Assumptions!$C$10)</f>
        <v>4984720</v>
      </c>
      <c r="D16" s="70" t="n">
        <f aca="false">B16-C16</f>
        <v>-280454.859999999</v>
      </c>
      <c r="E16" s="75" t="n">
        <f aca="false">IF(C16=0,0,D16/ABS(C16))</f>
        <v>-0.0562629114574137</v>
      </c>
      <c r="F16" s="74" t="n">
        <f aca="false">PL!$C$14</f>
        <v>7663693.79241965</v>
      </c>
      <c r="G16" s="74" t="n">
        <f aca="false">Budget_FY26!$C$19</f>
        <v>7719240</v>
      </c>
      <c r="H16" s="70" t="n">
        <f aca="false">F16-G16</f>
        <v>-55546.2075803485</v>
      </c>
      <c r="I16" s="75" t="n">
        <f aca="false">IF(G16=0,0,H16/ABS(G16))</f>
        <v>-0.00719581300495236</v>
      </c>
      <c r="J16" s="76"/>
    </row>
    <row r="17" customFormat="false" ht="15" hidden="false" customHeight="false" outlineLevel="0" collapsed="false">
      <c r="A17" s="29" t="s">
        <v>499</v>
      </c>
      <c r="B17" s="62" t="n">
        <f aca="false">SUMIFS(PL!$E$17:$AB$17,Assumptions!$E$188:$AB$188,"A")+SUMIFS(PL!$E$18:$AB$18,Assumptions!$E$188:$AB$188,"A")</f>
        <v>-2478057.51</v>
      </c>
      <c r="C17" s="62" t="n">
        <f aca="false">SUMIFS(Budget_FY26!$E$21:$P$21,Assumptions!$E$187:$P$187,"&lt;="&amp;Assumptions!$C$10)</f>
        <v>-2454968</v>
      </c>
      <c r="D17" s="71" t="n">
        <f aca="false">B17-C17</f>
        <v>-23089.5099999998</v>
      </c>
      <c r="E17" s="64" t="n">
        <f aca="false">IF(C17=0,0,D17/ABS(C17))</f>
        <v>-0.0094052183164912</v>
      </c>
      <c r="F17" s="62" t="n">
        <f aca="false">PL!$C$17+PL!$C$18</f>
        <v>-3781621.36721439</v>
      </c>
      <c r="G17" s="62" t="n">
        <f aca="false">Budget_FY26!$C$21</f>
        <v>-3745432</v>
      </c>
      <c r="H17" s="71" t="n">
        <f aca="false">F17-G17</f>
        <v>-36189.3672143854</v>
      </c>
      <c r="I17" s="64" t="n">
        <f aca="false">IF(G17=0,0,H17/ABS(G17))</f>
        <v>-0.00966226785438513</v>
      </c>
    </row>
    <row r="18" customFormat="false" ht="15" hidden="false" customHeight="false" outlineLevel="0" collapsed="false">
      <c r="A18" s="29" t="s">
        <v>500</v>
      </c>
      <c r="B18" s="62" t="n">
        <f aca="false">SUMIFS(PL!$E$19:$AB$19,Assumptions!$E$188:$AB$188,"A")</f>
        <v>-198788.31</v>
      </c>
      <c r="C18" s="62" t="n">
        <f aca="false">SUMIFS(Budget_FY26!$E$22:$P$22,Assumptions!$E$187:$P$187,"&lt;="&amp;Assumptions!$C$10)</f>
        <v>-275416</v>
      </c>
      <c r="D18" s="71" t="n">
        <f aca="false">B18-C18</f>
        <v>76627.69</v>
      </c>
      <c r="E18" s="64" t="n">
        <f aca="false">IF(C18=0,0,D18/ABS(C18))</f>
        <v>0.27822526650594</v>
      </c>
      <c r="F18" s="62" t="n">
        <f aca="false">PL!$C$19</f>
        <v>-322673.551028152</v>
      </c>
      <c r="G18" s="62" t="n">
        <f aca="false">Budget_FY26!$C$22</f>
        <v>-413124</v>
      </c>
      <c r="H18" s="71" t="n">
        <f aca="false">F18-G18</f>
        <v>90450.4489718485</v>
      </c>
      <c r="I18" s="64" t="n">
        <f aca="false">IF(G18=0,0,H18/ABS(G18))</f>
        <v>0.218942615224118</v>
      </c>
      <c r="J18" s="48" t="str">
        <f aca="false">"Bonus accrued at "&amp;TEXT(Assumptions!$C$92,"0%")&amp;" of target on the year to date performance."</f>
        <v>Bonus accrued at 70% of target on the year to date performance.</v>
      </c>
    </row>
    <row r="19" customFormat="false" ht="22.35" hidden="false" customHeight="false" outlineLevel="0" collapsed="false">
      <c r="A19" s="29" t="s">
        <v>357</v>
      </c>
      <c r="B19" s="62" t="n">
        <f aca="false">SUMIFS(PL!$E$20:$AB$20,Assumptions!$E$188:$AB$188,"A")</f>
        <v>-152950.66</v>
      </c>
      <c r="C19" s="62" t="n">
        <f aca="false">SUMIFS(Budget_FY26!$E$23:$P$23,Assumptions!$E$187:$P$187,"&lt;="&amp;Assumptions!$C$10)</f>
        <v>-72000</v>
      </c>
      <c r="D19" s="71" t="n">
        <f aca="false">B19-C19</f>
        <v>-80950.66</v>
      </c>
      <c r="E19" s="64" t="n">
        <f aca="false">IF(C19=0,0,D19/ABS(C19))</f>
        <v>-1.12431472222222</v>
      </c>
      <c r="F19" s="62" t="n">
        <f aca="false">PL!$C$20</f>
        <v>-230376.990120966</v>
      </c>
      <c r="G19" s="62" t="n">
        <f aca="false">Budget_FY26!$C$23</f>
        <v>-108000</v>
      </c>
      <c r="H19" s="71" t="n">
        <f aca="false">F19-G19</f>
        <v>-122376.990120966</v>
      </c>
      <c r="I19" s="64" t="n">
        <f aca="false">IF(G19=0,0,H19/ABS(G19))</f>
        <v>-1.13312027889783</v>
      </c>
      <c r="J19" s="48" t="str">
        <f aca="false">"Operations and finance bought in help for the April to June peak and an operations vacancy; digital covered its June leaver."</f>
        <v>Operations and finance bought in help for the April to June peak and an operations vacancy; digital covered its June leaver.</v>
      </c>
    </row>
    <row r="20" customFormat="false" ht="15" hidden="false" customHeight="false" outlineLevel="0" collapsed="false">
      <c r="A20" s="29" t="s">
        <v>358</v>
      </c>
      <c r="B20" s="62" t="n">
        <f aca="false">SUMIFS(PL!$E$21:$AB$21,Assumptions!$E$188:$AB$188,"A")</f>
        <v>-312249.05</v>
      </c>
      <c r="C20" s="62" t="n">
        <f aca="false">SUMIFS(Budget_FY26!$E$24:$P$24,Assumptions!$E$187:$P$187,"&lt;="&amp;Assumptions!$C$10)</f>
        <v>-316080</v>
      </c>
      <c r="D20" s="71" t="n">
        <f aca="false">B20-C20</f>
        <v>3830.95000000001</v>
      </c>
      <c r="E20" s="64" t="n">
        <f aca="false">IF(C20=0,0,D20/ABS(C20))</f>
        <v>0.0121201910908631</v>
      </c>
      <c r="F20" s="62" t="n">
        <f aca="false">PL!$C$21</f>
        <v>-502291.611894238</v>
      </c>
      <c r="G20" s="62" t="n">
        <f aca="false">Budget_FY26!$C$24</f>
        <v>-489480</v>
      </c>
      <c r="H20" s="71" t="n">
        <f aca="false">F20-G20</f>
        <v>-12811.6118942381</v>
      </c>
      <c r="I20" s="64" t="n">
        <f aca="false">IF(G20=0,0,H20/ABS(G20))</f>
        <v>-0.0261739231311557</v>
      </c>
    </row>
    <row r="21" customFormat="false" ht="15" hidden="false" customHeight="false" outlineLevel="0" collapsed="false">
      <c r="A21" s="73" t="s">
        <v>359</v>
      </c>
      <c r="B21" s="74" t="n">
        <f aca="false">SUMIFS(PL!$E$22:$AB$22,Assumptions!$E$188:$AB$188,"A")</f>
        <v>-3142045.53</v>
      </c>
      <c r="C21" s="74" t="n">
        <f aca="false">SUMIFS(Budget_FY26!$E$25:$P$25,Assumptions!$E$187:$P$187,"&lt;="&amp;Assumptions!$C$10)</f>
        <v>-3118464</v>
      </c>
      <c r="D21" s="70" t="n">
        <f aca="false">B21-C21</f>
        <v>-23581.5300000003</v>
      </c>
      <c r="E21" s="75" t="n">
        <f aca="false">IF(C21=0,0,D21/ABS(C21))</f>
        <v>-0.00756190547654238</v>
      </c>
      <c r="F21" s="74" t="n">
        <f aca="false">PL!$C$22</f>
        <v>-4836963.52025774</v>
      </c>
      <c r="G21" s="74" t="n">
        <f aca="false">Budget_FY26!$C$25</f>
        <v>-4756036</v>
      </c>
      <c r="H21" s="70" t="n">
        <f aca="false">F21-G21</f>
        <v>-80927.5202577403</v>
      </c>
      <c r="I21" s="75" t="n">
        <f aca="false">IF(G21=0,0,H21/ABS(G21))</f>
        <v>-0.0170157501452345</v>
      </c>
      <c r="J21" s="76"/>
    </row>
    <row r="22" customFormat="false" ht="15" hidden="false" customHeight="false" outlineLevel="0" collapsed="false">
      <c r="A22" s="73" t="s">
        <v>501</v>
      </c>
      <c r="B22" s="74" t="n">
        <f aca="false">SUMIFS(PL!$E$23:$AB$23,Assumptions!$E$188:$AB$188,"A")</f>
        <v>1562219.61</v>
      </c>
      <c r="C22" s="74" t="n">
        <f aca="false">SUMIFS(Budget_FY26!$E$26:$P$26,Assumptions!$E$187:$P$187,"&lt;="&amp;Assumptions!$C$10)</f>
        <v>1866256</v>
      </c>
      <c r="D22" s="70" t="n">
        <f aca="false">B22-C22</f>
        <v>-304036.39</v>
      </c>
      <c r="E22" s="75" t="n">
        <f aca="false">IF(C22=0,0,D22/ABS(C22))</f>
        <v>-0.162912478245214</v>
      </c>
      <c r="F22" s="74" t="n">
        <f aca="false">PL!$C$23</f>
        <v>2826730.27216191</v>
      </c>
      <c r="G22" s="74" t="n">
        <f aca="false">Budget_FY26!$C$26</f>
        <v>2963204</v>
      </c>
      <c r="H22" s="70" t="n">
        <f aca="false">F22-G22</f>
        <v>-136473.727838089</v>
      </c>
      <c r="I22" s="75" t="n">
        <f aca="false">IF(G22=0,0,H22/ABS(G22))</f>
        <v>-0.0460561364786524</v>
      </c>
      <c r="J22" s="76"/>
    </row>
    <row r="23" customFormat="false" ht="15" hidden="false" customHeight="false" outlineLevel="0" collapsed="false">
      <c r="A23" s="73" t="s">
        <v>314</v>
      </c>
      <c r="B23" s="75" t="n">
        <f aca="false">IF(B16=0,0,B22/B16)</f>
        <v>0.332085790980735</v>
      </c>
      <c r="C23" s="75" t="n">
        <f aca="false">IF(C16=0,0,C22/C16)</f>
        <v>0.374395352196312</v>
      </c>
      <c r="D23" s="75" t="n">
        <f aca="false">B23-C23</f>
        <v>-0.0423095612155765</v>
      </c>
      <c r="E23" s="76"/>
      <c r="F23" s="75" t="n">
        <f aca="false">IF(F16=0,0,F22/F16)</f>
        <v>0.368846974934972</v>
      </c>
      <c r="G23" s="75" t="n">
        <f aca="false">IF(G16=0,0,G22/G16)</f>
        <v>0.383872505583451</v>
      </c>
      <c r="H23" s="75" t="n">
        <f aca="false">F23-G23</f>
        <v>-0.0150255306484793</v>
      </c>
      <c r="I23" s="76"/>
      <c r="J23" s="76"/>
    </row>
    <row r="24" customFormat="false" ht="15" hidden="false" customHeight="false" outlineLevel="0" collapsed="false">
      <c r="A24" s="29" t="s">
        <v>502</v>
      </c>
      <c r="B24" s="62" t="n">
        <f aca="false">SUMIFS(PL!$E$26:$AB$26,Assumptions!$E$188:$AB$188,"A")</f>
        <v>-525130.69</v>
      </c>
      <c r="C24" s="62" t="n">
        <f aca="false">SUMIFS(Budget_FY26!$E$28:$P$28,Assumptions!$E$187:$P$187,"&lt;="&amp;Assumptions!$C$10)</f>
        <v>-524560</v>
      </c>
      <c r="D24" s="71" t="n">
        <f aca="false">B24-C24</f>
        <v>-570.689999999944</v>
      </c>
      <c r="E24" s="64" t="n">
        <f aca="false">IF(C24=0,0,D24/ABS(C24))</f>
        <v>-0.00108794036907112</v>
      </c>
      <c r="F24" s="62" t="n">
        <f aca="false">PL!$C$26</f>
        <v>-787409.4598</v>
      </c>
      <c r="G24" s="62" t="n">
        <f aca="false">Budget_FY26!$C$28</f>
        <v>-786840</v>
      </c>
      <c r="H24" s="71" t="n">
        <f aca="false">F24-G24</f>
        <v>-569.459799999953</v>
      </c>
      <c r="I24" s="64" t="n">
        <f aca="false">IF(G24=0,0,H24/ABS(G24))</f>
        <v>-0.000723730110314617</v>
      </c>
    </row>
    <row r="25" customFormat="false" ht="15" hidden="false" customHeight="false" outlineLevel="0" collapsed="false">
      <c r="A25" s="29" t="s">
        <v>365</v>
      </c>
      <c r="B25" s="62" t="n">
        <f aca="false">SUMIFS(PL!$E$27:$AB$27,Assumptions!$E$188:$AB$188,"A")</f>
        <v>-14851.47640368</v>
      </c>
      <c r="C25" s="62" t="n">
        <f aca="false">SUMIFS(Budget_FY26!$E$29:$P$29,Assumptions!$E$187:$P$187,"&lt;="&amp;Assumptions!$C$10)</f>
        <v>-21176</v>
      </c>
      <c r="D25" s="71" t="n">
        <f aca="false">B25-C25</f>
        <v>6324.52359632</v>
      </c>
      <c r="E25" s="64" t="n">
        <f aca="false">IF(C25=0,0,D25/ABS(C25))</f>
        <v>0.298664695708349</v>
      </c>
      <c r="F25" s="62" t="n">
        <f aca="false">PL!$C$27</f>
        <v>-23852.91871248</v>
      </c>
      <c r="G25" s="62" t="n">
        <f aca="false">Budget_FY26!$C$29</f>
        <v>-31764</v>
      </c>
      <c r="H25" s="71" t="n">
        <f aca="false">F25-G25</f>
        <v>7911.08128752</v>
      </c>
      <c r="I25" s="64" t="n">
        <f aca="false">IF(G25=0,0,H25/ABS(G25))</f>
        <v>0.249058093675859</v>
      </c>
    </row>
    <row r="26" customFormat="false" ht="15" hidden="false" customHeight="false" outlineLevel="0" collapsed="false">
      <c r="A26" s="29" t="s">
        <v>366</v>
      </c>
      <c r="B26" s="62" t="n">
        <f aca="false">SUMIFS(PL!$E$28:$AB$28,Assumptions!$E$188:$AB$188,"A")</f>
        <v>0</v>
      </c>
      <c r="C26" s="62" t="n">
        <f aca="false">SUMIFS(Budget_FY26!$E$30:$P$30,Assumptions!$E$187:$P$187,"&lt;="&amp;Assumptions!$C$10)</f>
        <v>0</v>
      </c>
      <c r="D26" s="71" t="n">
        <f aca="false">B26-C26</f>
        <v>0</v>
      </c>
      <c r="E26" s="64" t="n">
        <f aca="false">IF(C26=0,0,D26/ABS(C26))</f>
        <v>0</v>
      </c>
      <c r="F26" s="62" t="n">
        <f aca="false">PL!$C$28</f>
        <v>0</v>
      </c>
      <c r="G26" s="62" t="n">
        <f aca="false">Budget_FY26!$C$30</f>
        <v>0</v>
      </c>
      <c r="H26" s="71" t="n">
        <f aca="false">F26-G26</f>
        <v>0</v>
      </c>
      <c r="I26" s="64" t="n">
        <f aca="false">IF(G26=0,0,H26/ABS(G26))</f>
        <v>0</v>
      </c>
    </row>
    <row r="27" customFormat="false" ht="15" hidden="false" customHeight="false" outlineLevel="0" collapsed="false">
      <c r="A27" s="29" t="s">
        <v>367</v>
      </c>
      <c r="B27" s="62" t="n">
        <f aca="false">SUMIFS(PL!$E$29:$AB$29,Assumptions!$E$188:$AB$188,"A")</f>
        <v>-192000</v>
      </c>
      <c r="C27" s="62" t="n">
        <f aca="false">SUMIFS(Budget_FY26!$E$31:$P$31,Assumptions!$E$187:$P$187,"&lt;="&amp;Assumptions!$C$10)</f>
        <v>-192000</v>
      </c>
      <c r="D27" s="71" t="n">
        <f aca="false">B27-C27</f>
        <v>0</v>
      </c>
      <c r="E27" s="64" t="n">
        <f aca="false">IF(C27=0,0,D27/ABS(C27))</f>
        <v>0</v>
      </c>
      <c r="F27" s="62" t="n">
        <f aca="false">PL!$C$29</f>
        <v>-288000</v>
      </c>
      <c r="G27" s="62" t="n">
        <f aca="false">Budget_FY26!$C$31</f>
        <v>-288000</v>
      </c>
      <c r="H27" s="71" t="n">
        <f aca="false">F27-G27</f>
        <v>0</v>
      </c>
      <c r="I27" s="64" t="n">
        <f aca="false">IF(G27=0,0,H27/ABS(G27))</f>
        <v>0</v>
      </c>
    </row>
    <row r="28" customFormat="false" ht="15" hidden="false" customHeight="false" outlineLevel="0" collapsed="false">
      <c r="A28" s="29" t="s">
        <v>368</v>
      </c>
      <c r="B28" s="62" t="n">
        <f aca="false">SUMIFS(PL!$E$30:$AB$30,Assumptions!$E$188:$AB$188,"A")</f>
        <v>-103419</v>
      </c>
      <c r="C28" s="62" t="n">
        <f aca="false">SUMIFS(Budget_FY26!$E$32:$P$32,Assumptions!$E$187:$P$187,"&lt;="&amp;Assumptions!$C$10)</f>
        <v>-105600</v>
      </c>
      <c r="D28" s="71" t="n">
        <f aca="false">B28-C28</f>
        <v>2181</v>
      </c>
      <c r="E28" s="64" t="n">
        <f aca="false">IF(C28=0,0,D28/ABS(C28))</f>
        <v>0.0206534090909091</v>
      </c>
      <c r="F28" s="62" t="n">
        <f aca="false">PL!$C$30</f>
        <v>-157419</v>
      </c>
      <c r="G28" s="62" t="n">
        <f aca="false">Budget_FY26!$C$32</f>
        <v>-158400</v>
      </c>
      <c r="H28" s="71" t="n">
        <f aca="false">F28-G28</f>
        <v>981</v>
      </c>
      <c r="I28" s="64" t="n">
        <f aca="false">IF(G28=0,0,H28/ABS(G28))</f>
        <v>0.00619318181818182</v>
      </c>
    </row>
    <row r="29" customFormat="false" ht="15" hidden="false" customHeight="false" outlineLevel="0" collapsed="false">
      <c r="A29" s="29" t="s">
        <v>369</v>
      </c>
      <c r="B29" s="62" t="n">
        <f aca="false">SUMIFS(PL!$E$31:$AB$31,Assumptions!$E$188:$AB$188,"A")</f>
        <v>-50400</v>
      </c>
      <c r="C29" s="62" t="n">
        <f aca="false">SUMIFS(Budget_FY26!$E$33:$P$33,Assumptions!$E$187:$P$187,"&lt;="&amp;Assumptions!$C$10)</f>
        <v>-50400</v>
      </c>
      <c r="D29" s="71" t="n">
        <f aca="false">B29-C29</f>
        <v>0</v>
      </c>
      <c r="E29" s="64" t="n">
        <f aca="false">IF(C29=0,0,D29/ABS(C29))</f>
        <v>0</v>
      </c>
      <c r="F29" s="62" t="n">
        <f aca="false">PL!$C$31</f>
        <v>-75600</v>
      </c>
      <c r="G29" s="62" t="n">
        <f aca="false">Budget_FY26!$C$33</f>
        <v>-75600</v>
      </c>
      <c r="H29" s="71" t="n">
        <f aca="false">F29-G29</f>
        <v>0</v>
      </c>
      <c r="I29" s="64" t="n">
        <f aca="false">IF(G29=0,0,H29/ABS(G29))</f>
        <v>0</v>
      </c>
    </row>
    <row r="30" customFormat="false" ht="15" hidden="false" customHeight="false" outlineLevel="0" collapsed="false">
      <c r="A30" s="29" t="s">
        <v>370</v>
      </c>
      <c r="B30" s="62" t="n">
        <f aca="false">SUMIFS(PL!$E$32:$AB$32,Assumptions!$E$188:$AB$188,"A")</f>
        <v>-67900</v>
      </c>
      <c r="C30" s="62" t="n">
        <f aca="false">SUMIFS(Budget_FY26!$E$34:$P$34,Assumptions!$E$187:$P$187,"&lt;="&amp;Assumptions!$C$10)</f>
        <v>-36000</v>
      </c>
      <c r="D30" s="71" t="n">
        <f aca="false">B30-C30</f>
        <v>-31900</v>
      </c>
      <c r="E30" s="64" t="n">
        <f aca="false">IF(C30=0,0,D30/ABS(C30))</f>
        <v>-0.886111111111111</v>
      </c>
      <c r="F30" s="62" t="n">
        <f aca="false">PL!$C$32</f>
        <v>-101160</v>
      </c>
      <c r="G30" s="62" t="n">
        <f aca="false">Budget_FY26!$C$34</f>
        <v>-54000</v>
      </c>
      <c r="H30" s="71" t="n">
        <f aca="false">F30-G30</f>
        <v>-47160</v>
      </c>
      <c r="I30" s="64" t="n">
        <f aca="false">IF(G30=0,0,H30/ABS(G30))</f>
        <v>-0.873333333333333</v>
      </c>
      <c r="J30" s="48" t="str">
        <f aca="false">"Agency fees for the February manager and July senior consultant hires, not budgeted."</f>
        <v>Agency fees for the February manager and July senior consultant hires, not budgeted.</v>
      </c>
    </row>
    <row r="31" customFormat="false" ht="15" hidden="false" customHeight="false" outlineLevel="0" collapsed="false">
      <c r="A31" s="29" t="s">
        <v>371</v>
      </c>
      <c r="B31" s="62" t="n">
        <f aca="false">SUMIFS(PL!$E$33:$AB$33,Assumptions!$E$188:$AB$188,"A")</f>
        <v>-63892</v>
      </c>
      <c r="C31" s="62" t="n">
        <f aca="false">SUMIFS(Budget_FY26!$E$35:$P$35,Assumptions!$E$187:$P$187,"&lt;="&amp;Assumptions!$C$10)</f>
        <v>-65600</v>
      </c>
      <c r="D31" s="71" t="n">
        <f aca="false">B31-C31</f>
        <v>1708</v>
      </c>
      <c r="E31" s="64" t="n">
        <f aca="false">IF(C31=0,0,D31/ABS(C31))</f>
        <v>0.0260365853658537</v>
      </c>
      <c r="F31" s="62" t="n">
        <f aca="false">PL!$C$33</f>
        <v>-97892</v>
      </c>
      <c r="G31" s="62" t="n">
        <f aca="false">Budget_FY26!$C$35</f>
        <v>-98400</v>
      </c>
      <c r="H31" s="71" t="n">
        <f aca="false">F31-G31</f>
        <v>508</v>
      </c>
      <c r="I31" s="64" t="n">
        <f aca="false">IF(G31=0,0,H31/ABS(G31))</f>
        <v>0.00516260162601626</v>
      </c>
    </row>
    <row r="32" customFormat="false" ht="15" hidden="false" customHeight="false" outlineLevel="0" collapsed="false">
      <c r="A32" s="29" t="s">
        <v>372</v>
      </c>
      <c r="B32" s="62" t="n">
        <f aca="false">SUMIFS(PL!$E$34:$AB$34,Assumptions!$E$188:$AB$188,"A")</f>
        <v>-43894</v>
      </c>
      <c r="C32" s="62" t="n">
        <f aca="false">SUMIFS(Budget_FY26!$E$36:$P$36,Assumptions!$E$187:$P$187,"&lt;="&amp;Assumptions!$C$10)</f>
        <v>-44000</v>
      </c>
      <c r="D32" s="71" t="n">
        <f aca="false">B32-C32</f>
        <v>106</v>
      </c>
      <c r="E32" s="64" t="n">
        <f aca="false">IF(C32=0,0,D32/ABS(C32))</f>
        <v>0.00240909090909091</v>
      </c>
      <c r="F32" s="62" t="n">
        <f aca="false">PL!$C$34</f>
        <v>-65894</v>
      </c>
      <c r="G32" s="62" t="n">
        <f aca="false">Budget_FY26!$C$36</f>
        <v>-66000</v>
      </c>
      <c r="H32" s="71" t="n">
        <f aca="false">F32-G32</f>
        <v>106</v>
      </c>
      <c r="I32" s="64" t="n">
        <f aca="false">IF(G32=0,0,H32/ABS(G32))</f>
        <v>0.00160606060606061</v>
      </c>
    </row>
    <row r="33" customFormat="false" ht="15" hidden="false" customHeight="false" outlineLevel="0" collapsed="false">
      <c r="A33" s="29" t="s">
        <v>373</v>
      </c>
      <c r="B33" s="62" t="n">
        <f aca="false">SUMIFS(PL!$E$35:$AB$35,Assumptions!$E$188:$AB$188,"A")</f>
        <v>-30900</v>
      </c>
      <c r="C33" s="62" t="n">
        <f aca="false">SUMIFS(Budget_FY26!$E$37:$P$37,Assumptions!$E$187:$P$187,"&lt;="&amp;Assumptions!$C$10)</f>
        <v>-30400</v>
      </c>
      <c r="D33" s="71" t="n">
        <f aca="false">B33-C33</f>
        <v>-500</v>
      </c>
      <c r="E33" s="64" t="n">
        <f aca="false">IF(C33=0,0,D33/ABS(C33))</f>
        <v>-0.0164473684210526</v>
      </c>
      <c r="F33" s="62" t="n">
        <f aca="false">PL!$C$35</f>
        <v>-46100</v>
      </c>
      <c r="G33" s="62" t="n">
        <f aca="false">Budget_FY26!$C$37</f>
        <v>-45600</v>
      </c>
      <c r="H33" s="71" t="n">
        <f aca="false">F33-G33</f>
        <v>-500</v>
      </c>
      <c r="I33" s="64" t="n">
        <f aca="false">IF(G33=0,0,H33/ABS(G33))</f>
        <v>-0.0109649122807018</v>
      </c>
    </row>
    <row r="34" customFormat="false" ht="15" hidden="false" customHeight="false" outlineLevel="0" collapsed="false">
      <c r="A34" s="29" t="s">
        <v>374</v>
      </c>
      <c r="B34" s="62" t="n">
        <f aca="false">SUMIFS(PL!$E$36:$AB$36,Assumptions!$E$188:$AB$188,"A")</f>
        <v>-47292</v>
      </c>
      <c r="C34" s="62" t="n">
        <f aca="false">SUMIFS(Budget_FY26!$E$38:$P$38,Assumptions!$E$187:$P$187,"&lt;="&amp;Assumptions!$C$10)</f>
        <v>-48000</v>
      </c>
      <c r="D34" s="71" t="n">
        <f aca="false">B34-C34</f>
        <v>708</v>
      </c>
      <c r="E34" s="64" t="n">
        <f aca="false">IF(C34=0,0,D34/ABS(C34))</f>
        <v>0.01475</v>
      </c>
      <c r="F34" s="62" t="n">
        <f aca="false">PL!$C$36</f>
        <v>-71292</v>
      </c>
      <c r="G34" s="62" t="n">
        <f aca="false">Budget_FY26!$C$38</f>
        <v>-72000</v>
      </c>
      <c r="H34" s="71" t="n">
        <f aca="false">F34-G34</f>
        <v>708</v>
      </c>
      <c r="I34" s="64" t="n">
        <f aca="false">IF(G34=0,0,H34/ABS(G34))</f>
        <v>0.00983333333333333</v>
      </c>
    </row>
    <row r="35" customFormat="false" ht="15" hidden="false" customHeight="false" outlineLevel="0" collapsed="false">
      <c r="A35" s="29" t="s">
        <v>375</v>
      </c>
      <c r="B35" s="62" t="n">
        <f aca="false">SUMIFS(PL!$E$37:$AB$37,Assumptions!$E$188:$AB$188,"A")</f>
        <v>-34042</v>
      </c>
      <c r="C35" s="62" t="n">
        <f aca="false">SUMIFS(Budget_FY26!$E$39:$P$39,Assumptions!$E$187:$P$187,"&lt;="&amp;Assumptions!$C$10)</f>
        <v>-32800</v>
      </c>
      <c r="D35" s="71" t="n">
        <f aca="false">B35-C35</f>
        <v>-1242</v>
      </c>
      <c r="E35" s="64" t="n">
        <f aca="false">IF(C35=0,0,D35/ABS(C35))</f>
        <v>-0.0378658536585366</v>
      </c>
      <c r="F35" s="62" t="n">
        <f aca="false">PL!$C$37</f>
        <v>-50842</v>
      </c>
      <c r="G35" s="62" t="n">
        <f aca="false">Budget_FY26!$C$39</f>
        <v>-49200</v>
      </c>
      <c r="H35" s="71" t="n">
        <f aca="false">F35-G35</f>
        <v>-1642</v>
      </c>
      <c r="I35" s="64" t="n">
        <f aca="false">IF(G35=0,0,H35/ABS(G35))</f>
        <v>-0.0333739837398374</v>
      </c>
    </row>
    <row r="36" customFormat="false" ht="15" hidden="false" customHeight="false" outlineLevel="0" collapsed="false">
      <c r="A36" s="29" t="s">
        <v>376</v>
      </c>
      <c r="B36" s="62" t="n">
        <f aca="false">SUMIFS(PL!$E$38:$AB$38,Assumptions!$E$188:$AB$188,"A")</f>
        <v>-15470</v>
      </c>
      <c r="C36" s="62" t="n">
        <f aca="false">SUMIFS(Budget_FY26!$E$40:$P$40,Assumptions!$E$187:$P$187,"&lt;="&amp;Assumptions!$C$10)</f>
        <v>-18400</v>
      </c>
      <c r="D36" s="71" t="n">
        <f aca="false">B36-C36</f>
        <v>2930</v>
      </c>
      <c r="E36" s="64" t="n">
        <f aca="false">IF(C36=0,0,D36/ABS(C36))</f>
        <v>0.159239130434783</v>
      </c>
      <c r="F36" s="62" t="n">
        <f aca="false">PL!$C$38</f>
        <v>-25070</v>
      </c>
      <c r="G36" s="62" t="n">
        <f aca="false">Budget_FY26!$C$40</f>
        <v>-27600</v>
      </c>
      <c r="H36" s="71" t="n">
        <f aca="false">F36-G36</f>
        <v>2530</v>
      </c>
      <c r="I36" s="64" t="n">
        <f aca="false">IF(G36=0,0,H36/ABS(G36))</f>
        <v>0.0916666666666667</v>
      </c>
    </row>
    <row r="37" customFormat="false" ht="15" hidden="false" customHeight="false" outlineLevel="0" collapsed="false">
      <c r="A37" s="29" t="s">
        <v>377</v>
      </c>
      <c r="B37" s="62" t="n">
        <f aca="false">SUMIFS(PL!$E$39:$AB$39,Assumptions!$E$188:$AB$188,"A")</f>
        <v>-3807</v>
      </c>
      <c r="C37" s="62" t="n">
        <f aca="false">SUMIFS(Budget_FY26!$E$41:$P$41,Assumptions!$E$187:$P$187,"&lt;="&amp;Assumptions!$C$10)</f>
        <v>-4000</v>
      </c>
      <c r="D37" s="71" t="n">
        <f aca="false">B37-C37</f>
        <v>193</v>
      </c>
      <c r="E37" s="64" t="n">
        <f aca="false">IF(C37=0,0,D37/ABS(C37))</f>
        <v>0.04825</v>
      </c>
      <c r="F37" s="62" t="n">
        <f aca="false">PL!$C$39</f>
        <v>-5807</v>
      </c>
      <c r="G37" s="62" t="n">
        <f aca="false">Budget_FY26!$C$41</f>
        <v>-6000</v>
      </c>
      <c r="H37" s="71" t="n">
        <f aca="false">F37-G37</f>
        <v>193</v>
      </c>
      <c r="I37" s="64" t="n">
        <f aca="false">IF(G37=0,0,H37/ABS(G37))</f>
        <v>0.0321666666666667</v>
      </c>
    </row>
    <row r="38" customFormat="false" ht="15" hidden="false" customHeight="false" outlineLevel="0" collapsed="false">
      <c r="A38" s="29" t="s">
        <v>378</v>
      </c>
      <c r="B38" s="62" t="n">
        <f aca="false">SUMIFS(PL!$E$40:$AB$40,Assumptions!$E$188:$AB$188,"A")</f>
        <v>-116973.4298155</v>
      </c>
      <c r="C38" s="62" t="n">
        <f aca="false">SUMIFS(Budget_FY26!$E$42:$P$42,Assumptions!$E$187:$P$187,"&lt;="&amp;Assumptions!$C$10)</f>
        <v>-12000</v>
      </c>
      <c r="D38" s="71" t="n">
        <f aca="false">B38-C38</f>
        <v>-104973.4298155</v>
      </c>
      <c r="E38" s="64" t="n">
        <f aca="false">IF(C38=0,0,D38/ABS(C38))</f>
        <v>-8.74778581795833</v>
      </c>
      <c r="F38" s="62" t="n">
        <f aca="false">PL!$C$40</f>
        <v>-117509.409211073</v>
      </c>
      <c r="G38" s="62" t="n">
        <f aca="false">Budget_FY26!$C$42</f>
        <v>-18000</v>
      </c>
      <c r="H38" s="71" t="n">
        <f aca="false">F38-G38</f>
        <v>-99509.4092110731</v>
      </c>
      <c r="I38" s="64" t="n">
        <f aca="false">IF(G38=0,0,H38/ABS(G38))</f>
        <v>-5.52830051172628</v>
      </c>
      <c r="J38" s="48" t="str">
        <f aca="false">"Pelzhoff insolvency application in July: 95% of the net claim provided after the VAT correction."</f>
        <v>Pelzhoff insolvency application in July: 95% of the net claim provided after the VAT correction.</v>
      </c>
    </row>
    <row r="39" customFormat="false" ht="15" hidden="false" customHeight="false" outlineLevel="0" collapsed="false">
      <c r="A39" s="73" t="s">
        <v>379</v>
      </c>
      <c r="B39" s="74" t="n">
        <f aca="false">SUMIFS(PL!$E$41:$AB$41,Assumptions!$E$188:$AB$188,"A")</f>
        <v>-1309971.59621918</v>
      </c>
      <c r="C39" s="74" t="n">
        <f aca="false">SUMIFS(Budget_FY26!$E$43:$P$43,Assumptions!$E$187:$P$187,"&lt;="&amp;Assumptions!$C$10)</f>
        <v>-1184936</v>
      </c>
      <c r="D39" s="70" t="n">
        <f aca="false">B39-C39</f>
        <v>-125035.59621918</v>
      </c>
      <c r="E39" s="75" t="n">
        <f aca="false">IF(C39=0,0,D39/ABS(C39))</f>
        <v>-0.105520970093896</v>
      </c>
      <c r="F39" s="74" t="n">
        <f aca="false">PL!$C$41</f>
        <v>-1913847.78772355</v>
      </c>
      <c r="G39" s="74" t="n">
        <f aca="false">Budget_FY26!$C$43</f>
        <v>-1777404</v>
      </c>
      <c r="H39" s="70" t="n">
        <f aca="false">F39-G39</f>
        <v>-136443.787723553</v>
      </c>
      <c r="I39" s="75" t="n">
        <f aca="false">IF(G39=0,0,H39/ABS(G39))</f>
        <v>-0.0767657705977668</v>
      </c>
      <c r="J39" s="76"/>
    </row>
    <row r="40" customFormat="false" ht="15" hidden="false" customHeight="false" outlineLevel="0" collapsed="false">
      <c r="A40" s="73" t="s">
        <v>317</v>
      </c>
      <c r="B40" s="74" t="n">
        <f aca="false">SUMIFS(PL!$E$42:$AB$42,Assumptions!$E$188:$AB$188,"A")</f>
        <v>252248.01378082</v>
      </c>
      <c r="C40" s="74" t="n">
        <f aca="false">SUMIFS(Budget_FY26!$E$44:$P$44,Assumptions!$E$187:$P$187,"&lt;="&amp;Assumptions!$C$10)</f>
        <v>681320</v>
      </c>
      <c r="D40" s="70" t="n">
        <f aca="false">B40-C40</f>
        <v>-429071.98621918</v>
      </c>
      <c r="E40" s="75" t="n">
        <f aca="false">IF(C40=0,0,D40/ABS(C40))</f>
        <v>-0.629765728613838</v>
      </c>
      <c r="F40" s="74" t="n">
        <f aca="false">PL!$C$42</f>
        <v>912882.484438358</v>
      </c>
      <c r="G40" s="74" t="n">
        <f aca="false">Budget_FY26!$C$44</f>
        <v>1185800</v>
      </c>
      <c r="H40" s="70" t="n">
        <f aca="false">F40-G40</f>
        <v>-272917.515561642</v>
      </c>
      <c r="I40" s="75" t="n">
        <f aca="false">IF(G40=0,0,H40/ABS(G40))</f>
        <v>-0.230154760972881</v>
      </c>
      <c r="J40" s="77" t="str">
        <f aca="false">"EUR "&amp;TEXT(ABS(D40)/1000,"#,##0")&amp;"k "&amp;IF(D40&lt;0,"behind","ahead of")&amp;" budget YTD; EUR "&amp;TEXT(ABS(H40)/1000,"#,##0")&amp;"k on the full-year outlook."</f>
        <v>EUR 429k behind budget YTD; EUR 273k on the full-year outlook.</v>
      </c>
    </row>
    <row r="41" customFormat="false" ht="15" hidden="false" customHeight="false" outlineLevel="0" collapsed="false">
      <c r="A41" s="73" t="s">
        <v>315</v>
      </c>
      <c r="B41" s="75" t="n">
        <f aca="false">IF(B16=0,0,B40/B16)</f>
        <v>0.0536211302453969</v>
      </c>
      <c r="C41" s="75" t="n">
        <f aca="false">IF(C16=0,0,C40/C16)</f>
        <v>0.136681699272978</v>
      </c>
      <c r="D41" s="75" t="n">
        <f aca="false">B41-C41</f>
        <v>-0.0830605690275813</v>
      </c>
      <c r="E41" s="76"/>
      <c r="F41" s="75" t="n">
        <f aca="false">IF(F16=0,0,F40/F16)</f>
        <v>0.119117818269476</v>
      </c>
      <c r="G41" s="75" t="n">
        <f aca="false">IF(G16=0,0,G40/G16)</f>
        <v>0.153616159103746</v>
      </c>
      <c r="H41" s="75" t="n">
        <f aca="false">F41-G41</f>
        <v>-0.0344983408342696</v>
      </c>
      <c r="I41" s="76"/>
      <c r="J41" s="76"/>
    </row>
    <row r="42" customFormat="false" ht="15" hidden="false" customHeight="false" outlineLevel="0" collapsed="false">
      <c r="A42" s="29" t="s">
        <v>381</v>
      </c>
      <c r="B42" s="62" t="n">
        <f aca="false">SUMIFS(PL!$E$45:$AB$45,Assumptions!$E$188:$AB$188,"A")</f>
        <v>-74336.1111111111</v>
      </c>
      <c r="C42" s="62" t="n">
        <f aca="false">SUMIFS(Budget_FY26!$E$45:$P$45,Assumptions!$E$187:$P$187,"&lt;="&amp;Assumptions!$C$10)</f>
        <v>-86400</v>
      </c>
      <c r="D42" s="71" t="n">
        <f aca="false">B42-C42</f>
        <v>12063.8888888889</v>
      </c>
      <c r="E42" s="64" t="n">
        <f aca="false">IF(C42=0,0,D42/ABS(C42))</f>
        <v>0.139628343621399</v>
      </c>
      <c r="F42" s="62" t="n">
        <f aca="false">PL!$C$45</f>
        <v>-114080.555555556</v>
      </c>
      <c r="G42" s="62" t="n">
        <f aca="false">Budget_FY26!$C$45</f>
        <v>-129600</v>
      </c>
      <c r="H42" s="71" t="n">
        <f aca="false">F42-G42</f>
        <v>15519.4444444445</v>
      </c>
      <c r="I42" s="64" t="n">
        <f aca="false">IF(G42=0,0,H42/ABS(G42))</f>
        <v>0.119748799725652</v>
      </c>
    </row>
    <row r="43" customFormat="false" ht="15" hidden="false" customHeight="false" outlineLevel="0" collapsed="false">
      <c r="A43" s="29" t="s">
        <v>477</v>
      </c>
      <c r="B43" s="62" t="n">
        <f aca="false">SUMIFS(PL!$E$47:$AB$47,Assumptions!$E$188:$AB$188,"A")</f>
        <v>-4258.31</v>
      </c>
      <c r="C43" s="62" t="n">
        <f aca="false">SUMIFS(Budget_FY26!$E$46:$P$46,Assumptions!$E$187:$P$187,"&lt;="&amp;Assumptions!$C$10)</f>
        <v>-4258</v>
      </c>
      <c r="D43" s="71" t="n">
        <f aca="false">B43-C43</f>
        <v>-0.3100000000004</v>
      </c>
      <c r="E43" s="64" t="n">
        <f aca="false">IF(C43=0,0,D43/ABS(C43))</f>
        <v>-7.28041333960545E-005</v>
      </c>
      <c r="F43" s="62" t="n">
        <f aca="false">PL!$C$47</f>
        <v>-6037.437</v>
      </c>
      <c r="G43" s="62" t="n">
        <f aca="false">Budget_FY26!$C$46</f>
        <v>-6037</v>
      </c>
      <c r="H43" s="71" t="n">
        <f aca="false">F43-G43</f>
        <v>-0.436999999999898</v>
      </c>
      <c r="I43" s="64" t="n">
        <f aca="false">IF(G43=0,0,H43/ABS(G43))</f>
        <v>-7.23869471591682E-005</v>
      </c>
    </row>
    <row r="44" customFormat="false" ht="15" hidden="false" customHeight="false" outlineLevel="0" collapsed="false">
      <c r="A44" s="29" t="s">
        <v>503</v>
      </c>
      <c r="B44" s="62" t="n">
        <f aca="false">SUMIFS(PL!$E$49:$AB$49,Assumptions!$E$188:$AB$188,"A")+SUMIFS(PL!$E$50:$AB$50,Assumptions!$E$188:$AB$188,"A")</f>
        <v>-58792.6419328366</v>
      </c>
      <c r="C44" s="62" t="n">
        <f aca="false">SUMIFS(Budget_FY26!$E$48:$P$48,Assumptions!$E$187:$P$187,"&lt;="&amp;Assumptions!$C$10)</f>
        <v>-194770.7945</v>
      </c>
      <c r="D44" s="71" t="n">
        <f aca="false">B44-C44</f>
        <v>135978.152567163</v>
      </c>
      <c r="E44" s="64" t="n">
        <f aca="false">IF(C44=0,0,D44/ABS(C44))</f>
        <v>0.698144467276193</v>
      </c>
      <c r="F44" s="62" t="n">
        <f aca="false">PL!$C$49+PL!$C$50</f>
        <v>-263894.140948354</v>
      </c>
      <c r="G44" s="62" t="n">
        <f aca="false">Budget_FY26!$C$48</f>
        <v>-346291.24925</v>
      </c>
      <c r="H44" s="71" t="n">
        <f aca="false">F44-G44</f>
        <v>82397.1083016458</v>
      </c>
      <c r="I44" s="64" t="n">
        <f aca="false">IF(G44=0,0,H44/ABS(G44))</f>
        <v>0.237941641552023</v>
      </c>
    </row>
    <row r="45" customFormat="false" ht="15" hidden="false" customHeight="false" outlineLevel="0" collapsed="false">
      <c r="A45" s="73" t="s">
        <v>387</v>
      </c>
      <c r="B45" s="74" t="n">
        <f aca="false">SUMIFS(PL!$E$51:$AB$51,Assumptions!$E$188:$AB$188,"A")</f>
        <v>114860.950736873</v>
      </c>
      <c r="C45" s="74" t="n">
        <f aca="false">SUMIFS(Budget_FY26!$E$49:$P$49,Assumptions!$E$187:$P$187,"&lt;="&amp;Assumptions!$C$10)</f>
        <v>395891.2055</v>
      </c>
      <c r="D45" s="70" t="n">
        <f aca="false">B45-C45</f>
        <v>-281030.254763128</v>
      </c>
      <c r="E45" s="75" t="n">
        <f aca="false">IF(C45=0,0,D45/ABS(C45))</f>
        <v>-0.709867384925093</v>
      </c>
      <c r="F45" s="74" t="n">
        <f aca="false">PL!$C$51</f>
        <v>528870.350934448</v>
      </c>
      <c r="G45" s="74" t="n">
        <f aca="false">Budget_FY26!$C$49</f>
        <v>703871.75075</v>
      </c>
      <c r="H45" s="70" t="n">
        <f aca="false">F45-G45</f>
        <v>-175001.399815552</v>
      </c>
      <c r="I45" s="75" t="n">
        <f aca="false">IF(G45=0,0,H45/ABS(G45))</f>
        <v>-0.248626826732401</v>
      </c>
      <c r="J45" s="76"/>
    </row>
    <row r="46" customFormat="false" ht="15" hidden="false" customHeight="false" outlineLevel="0" collapsed="false">
      <c r="A46" s="23" t="s">
        <v>504</v>
      </c>
      <c r="B46" s="24"/>
      <c r="C46" s="24"/>
      <c r="D46" s="24"/>
      <c r="E46" s="24"/>
      <c r="F46" s="24"/>
      <c r="G46" s="24"/>
      <c r="H46" s="24"/>
      <c r="I46" s="24"/>
      <c r="J46" s="24"/>
    </row>
    <row r="47" customFormat="false" ht="15" hidden="false" customHeight="false" outlineLevel="0" collapsed="false">
      <c r="A47" s="29" t="s">
        <v>337</v>
      </c>
      <c r="B47" s="62" t="n">
        <f aca="false">INDEX(BS!$E$9:$AB$9,Assumptions!$C$10)</f>
        <v>710950.822251667</v>
      </c>
      <c r="C47" s="62" t="n">
        <f aca="false">INDEX(Budget_FY26!$E$51:$P$51,Assumptions!$C$10)</f>
        <v>1011000</v>
      </c>
      <c r="D47" s="71" t="n">
        <f aca="false">B47-C47</f>
        <v>-300049.177748333</v>
      </c>
      <c r="E47" s="64" t="n">
        <f aca="false">IF(C47=0,0,D47/ABS(C47))</f>
        <v>-0.296784547723376</v>
      </c>
      <c r="F47" s="62" t="n">
        <f aca="false">BS!$C$9</f>
        <v>967669.938318941</v>
      </c>
      <c r="G47" s="62" t="n">
        <f aca="false">Budget_FY26!$C$51</f>
        <v>1314000</v>
      </c>
      <c r="H47" s="71" t="n">
        <f aca="false">F47-G47</f>
        <v>-346330.061681059</v>
      </c>
      <c r="I47" s="64" t="n">
        <f aca="false">IF(G47=0,0,H47/ABS(G47))</f>
        <v>-0.263569301127138</v>
      </c>
    </row>
    <row r="48" customFormat="false" ht="15" hidden="false" customHeight="false" outlineLevel="0" collapsed="false">
      <c r="A48" s="29" t="s">
        <v>505</v>
      </c>
      <c r="B48" s="62" t="n">
        <f aca="false">INDEX(BS!$E$10:$AB$10,Assumptions!$C$10)</f>
        <v>976603.1344845</v>
      </c>
      <c r="C48" s="62" t="n">
        <f aca="false">INDEX(Budget_FY26!$E$52:$P$52,Assumptions!$C$10)</f>
        <v>888000</v>
      </c>
      <c r="D48" s="71" t="n">
        <f aca="false">B48-C48</f>
        <v>88603.1344845</v>
      </c>
      <c r="E48" s="64" t="n">
        <f aca="false">IF(C48=0,0,D48/ABS(C48))</f>
        <v>0.0997783045996622</v>
      </c>
      <c r="F48" s="62" t="n">
        <f aca="false">BS!$C$10</f>
        <v>1083263.03420355</v>
      </c>
      <c r="G48" s="62" t="n">
        <f aca="false">Budget_FY26!$C$52</f>
        <v>1077000</v>
      </c>
      <c r="H48" s="71" t="n">
        <f aca="false">F48-G48</f>
        <v>6263.03420354938</v>
      </c>
      <c r="I48" s="64" t="n">
        <f aca="false">IF(G48=0,0,H48/ABS(G48))</f>
        <v>0.00581525924192143</v>
      </c>
    </row>
    <row r="49" customFormat="false" ht="22.35" hidden="false" customHeight="false" outlineLevel="0" collapsed="false">
      <c r="A49" s="29" t="s">
        <v>506</v>
      </c>
      <c r="B49" s="62" t="n">
        <f aca="false">INDEX(BS!$E$11:$AB$11,Assumptions!$C$10)-INDEX(BS!$E$21:$AB$21,Assumptions!$C$10)</f>
        <v>336213.23</v>
      </c>
      <c r="C49" s="62" t="n">
        <f aca="false">INDEX(Budget_FY26!$E$53:$P$53,Assumptions!$C$10)</f>
        <v>295000</v>
      </c>
      <c r="D49" s="71" t="n">
        <f aca="false">B49-C49</f>
        <v>41213.2300000001</v>
      </c>
      <c r="E49" s="64" t="n">
        <f aca="false">IF(C49=0,0,D49/ABS(C49))</f>
        <v>0.13970586440678</v>
      </c>
      <c r="F49" s="62" t="n">
        <f aca="false">BS!$C$11-BS!$C$21</f>
        <v>657473.444208632</v>
      </c>
      <c r="G49" s="62" t="n">
        <f aca="false">Budget_FY26!$C$53</f>
        <v>358000</v>
      </c>
      <c r="H49" s="71" t="n">
        <f aca="false">F49-G49</f>
        <v>299473.444208632</v>
      </c>
      <c r="I49" s="64" t="n">
        <f aca="false">IF(G49=0,0,H49/ABS(G49))</f>
        <v>0.83651800058277</v>
      </c>
      <c r="J49" s="48" t="str">
        <f aca="false">"Unbilled time and materials billed in arrears; capped work invoiced ahead of revenue on Norlach."</f>
        <v>Unbilled time and materials billed in arrears; capped work invoiced ahead of revenue on Norlach.</v>
      </c>
    </row>
    <row r="51" customFormat="false" ht="15" hidden="false" customHeight="false" outlineLevel="0" collapsed="false">
      <c r="A51" s="23" t="s">
        <v>507</v>
      </c>
      <c r="B51" s="24"/>
      <c r="C51" s="24"/>
      <c r="D51" s="24"/>
      <c r="E51" s="24"/>
      <c r="F51" s="24"/>
      <c r="G51" s="24"/>
      <c r="H51" s="24"/>
      <c r="I51" s="24"/>
      <c r="J51" s="24"/>
    </row>
    <row r="52" customFormat="false" ht="30" hidden="false" customHeight="true" outlineLevel="0" collapsed="false">
      <c r="A52" s="44" t="s">
        <v>508</v>
      </c>
      <c r="B52" s="45" t="s">
        <v>509</v>
      </c>
      <c r="C52" s="45" t="s">
        <v>510</v>
      </c>
      <c r="D52" s="45" t="s">
        <v>511</v>
      </c>
      <c r="E52" s="45" t="s">
        <v>512</v>
      </c>
      <c r="F52" s="45" t="s">
        <v>513</v>
      </c>
      <c r="G52" s="45" t="s">
        <v>514</v>
      </c>
      <c r="H52" s="45" t="s">
        <v>515</v>
      </c>
      <c r="I52" s="45" t="s">
        <v>516</v>
      </c>
      <c r="J52" s="45" t="s">
        <v>517</v>
      </c>
    </row>
    <row r="53" customFormat="false" ht="15" hidden="false" customHeight="false" outlineLevel="0" collapsed="false">
      <c r="A53" s="0" t="s">
        <v>518</v>
      </c>
      <c r="B53" s="30" t="n">
        <f aca="false">B11</f>
        <v>1751228.84</v>
      </c>
      <c r="C53" s="30" t="n">
        <f aca="false">C11</f>
        <v>1780200</v>
      </c>
      <c r="D53" s="78" t="n">
        <f aca="false">B7</f>
        <v>10161.6</v>
      </c>
      <c r="E53" s="78" t="n">
        <f aca="false">C7</f>
        <v>9890</v>
      </c>
      <c r="F53" s="33" t="n">
        <f aca="false">IF(D53=0,0,B53/D53)</f>
        <v>172.337903479767</v>
      </c>
      <c r="G53" s="33" t="n">
        <f aca="false">IF(E53=0,0,C53/E53)</f>
        <v>180</v>
      </c>
      <c r="H53" s="30" t="n">
        <f aca="false">(D53-E53)*G53</f>
        <v>48888.0000000001</v>
      </c>
      <c r="I53" s="30" t="n">
        <f aca="false">D53*(F53-G53)</f>
        <v>-77859.16</v>
      </c>
      <c r="J53" s="30" t="n">
        <f aca="false">H53+I53</f>
        <v>-28971.16</v>
      </c>
    </row>
    <row r="54" customFormat="false" ht="15" hidden="false" customHeight="false" outlineLevel="0" collapsed="false">
      <c r="A54" s="0" t="s">
        <v>519</v>
      </c>
      <c r="B54" s="30" t="n">
        <f aca="false">B12</f>
        <v>1413034.12</v>
      </c>
      <c r="C54" s="30" t="n">
        <f aca="false">C12</f>
        <v>1393740</v>
      </c>
      <c r="D54" s="78" t="n">
        <f aca="false">B8</f>
        <v>7823.3</v>
      </c>
      <c r="E54" s="78" t="n">
        <f aca="false">C8</f>
        <v>7830</v>
      </c>
      <c r="F54" s="33" t="n">
        <f aca="false">IF(D54=0,0,B54/D54)</f>
        <v>180.618680096634</v>
      </c>
      <c r="G54" s="33" t="n">
        <f aca="false">IF(E54=0,0,C54/E54)</f>
        <v>178</v>
      </c>
      <c r="H54" s="30" t="n">
        <f aca="false">(D54-E54)*G54</f>
        <v>-1192.59999999997</v>
      </c>
      <c r="I54" s="30" t="n">
        <f aca="false">D54*(F54-G54)</f>
        <v>20486.7200000001</v>
      </c>
      <c r="J54" s="30" t="n">
        <f aca="false">H54+I54</f>
        <v>19294.1200000001</v>
      </c>
    </row>
    <row r="55" customFormat="false" ht="15" hidden="false" customHeight="false" outlineLevel="0" collapsed="false">
      <c r="A55" s="0" t="s">
        <v>520</v>
      </c>
      <c r="B55" s="30" t="n">
        <f aca="false">B13</f>
        <v>1291027.88</v>
      </c>
      <c r="C55" s="30" t="n">
        <f aca="false">C13</f>
        <v>1586080</v>
      </c>
      <c r="D55" s="78" t="n">
        <f aca="false">B9</f>
        <v>7067.2</v>
      </c>
      <c r="E55" s="78" t="n">
        <f aca="false">C9</f>
        <v>8620</v>
      </c>
      <c r="F55" s="33" t="n">
        <f aca="false">IF(D55=0,0,B55/D55)</f>
        <v>182.67883744623</v>
      </c>
      <c r="G55" s="33" t="n">
        <f aca="false">IF(E55=0,0,C55/E55)</f>
        <v>184</v>
      </c>
      <c r="H55" s="30" t="n">
        <f aca="false">(D55-E55)*G55</f>
        <v>-285715.2</v>
      </c>
      <c r="I55" s="30" t="n">
        <f aca="false">D55*(F55-G55)</f>
        <v>-9336.92000000009</v>
      </c>
      <c r="J55" s="30" t="n">
        <f aca="false">H55+I55</f>
        <v>-295052.12</v>
      </c>
    </row>
    <row r="56" customFormat="false" ht="15" hidden="false" customHeight="false" outlineLevel="0" collapsed="false">
      <c r="A56" s="0" t="s">
        <v>521</v>
      </c>
      <c r="B56" s="30" t="n">
        <f aca="false">B15</f>
        <v>248974.3</v>
      </c>
      <c r="C56" s="30" t="n">
        <f aca="false">C15</f>
        <v>224700</v>
      </c>
      <c r="H56" s="30" t="n">
        <f aca="false">B56-C56</f>
        <v>24274.3</v>
      </c>
      <c r="I56" s="30" t="n">
        <v>0</v>
      </c>
      <c r="J56" s="30" t="n">
        <f aca="false">H56+I56</f>
        <v>24274.3</v>
      </c>
    </row>
    <row r="57" customFormat="false" ht="15" hidden="false" customHeight="false" outlineLevel="0" collapsed="false">
      <c r="A57" s="79" t="s">
        <v>522</v>
      </c>
      <c r="B57" s="80" t="n">
        <f aca="false">SUM(B53:B56)</f>
        <v>4704265.14</v>
      </c>
      <c r="C57" s="80" t="n">
        <f aca="false">SUM(C53:C56)</f>
        <v>4984720</v>
      </c>
      <c r="D57" s="81" t="n">
        <f aca="false">SUM(D53:D56)</f>
        <v>25052.1</v>
      </c>
      <c r="E57" s="81" t="n">
        <f aca="false">SUM(E53:E56)</f>
        <v>26340</v>
      </c>
      <c r="H57" s="80" t="n">
        <f aca="false">SUM(H53:H56)</f>
        <v>-213745.5</v>
      </c>
      <c r="I57" s="80" t="n">
        <f aca="false">SUM(I53:I56)</f>
        <v>-66709.36</v>
      </c>
      <c r="J57" s="80" t="n">
        <f aca="false">SUM(J53:J56)</f>
        <v>-280454.86</v>
      </c>
    </row>
    <row r="58" customFormat="false" ht="15" hidden="false" customHeight="false" outlineLevel="0" collapsed="false">
      <c r="A58" s="5" t="s">
        <v>523</v>
      </c>
      <c r="J58" s="37" t="n">
        <f aca="false">ROUND(J57-D16,0)</f>
        <v>0</v>
      </c>
    </row>
    <row r="60" customFormat="false" ht="15" hidden="false" customHeight="false" outlineLevel="0" collapsed="false">
      <c r="A60" s="26" t="s">
        <v>524</v>
      </c>
    </row>
    <row r="62" customFormat="false" ht="15" hidden="false" customHeight="false" outlineLevel="0" collapsed="false">
      <c r="A62" s="23" t="s">
        <v>525</v>
      </c>
      <c r="B62" s="24"/>
      <c r="C62" s="24"/>
      <c r="D62" s="24"/>
      <c r="E62" s="24"/>
      <c r="F62" s="24"/>
      <c r="G62" s="24"/>
      <c r="H62" s="24"/>
      <c r="I62" s="24"/>
      <c r="J62" s="24"/>
    </row>
    <row r="63" customFormat="false" ht="15" hidden="false" customHeight="false" outlineLevel="0" collapsed="false">
      <c r="A63" s="5" t="s">
        <v>526</v>
      </c>
      <c r="B63" s="30" t="n">
        <f aca="false">C40</f>
        <v>681320</v>
      </c>
    </row>
    <row r="64" customFormat="false" ht="15" hidden="false" customHeight="false" outlineLevel="0" collapsed="false">
      <c r="A64" s="82" t="s">
        <v>527</v>
      </c>
      <c r="B64" s="30" t="n">
        <f aca="false">D16</f>
        <v>-280454.859999999</v>
      </c>
    </row>
    <row r="65" customFormat="false" ht="15" hidden="false" customHeight="false" outlineLevel="0" collapsed="false">
      <c r="A65" s="82" t="s">
        <v>528</v>
      </c>
      <c r="B65" s="30" t="n">
        <f aca="false">D17</f>
        <v>-23089.5099999998</v>
      </c>
    </row>
    <row r="66" customFormat="false" ht="15" hidden="false" customHeight="false" outlineLevel="0" collapsed="false">
      <c r="A66" s="82" t="s">
        <v>529</v>
      </c>
      <c r="B66" s="30" t="n">
        <f aca="false">D18</f>
        <v>76627.69</v>
      </c>
    </row>
    <row r="67" customFormat="false" ht="15" hidden="false" customHeight="false" outlineLevel="0" collapsed="false">
      <c r="A67" s="82" t="s">
        <v>530</v>
      </c>
      <c r="B67" s="30" t="n">
        <f aca="false">D19+D20</f>
        <v>-77119.71</v>
      </c>
    </row>
    <row r="68" customFormat="false" ht="15" hidden="false" customHeight="false" outlineLevel="0" collapsed="false">
      <c r="A68" s="82" t="s">
        <v>531</v>
      </c>
      <c r="B68" s="30" t="n">
        <f aca="false">D24+D25+D26</f>
        <v>5753.83359632006</v>
      </c>
    </row>
    <row r="69" customFormat="false" ht="15" hidden="false" customHeight="false" outlineLevel="0" collapsed="false">
      <c r="A69" s="82" t="s">
        <v>532</v>
      </c>
      <c r="B69" s="30" t="n">
        <f aca="false">D27+D28+D29+D30+D31+D32+D33+D34+D35+D36+D37</f>
        <v>-25816</v>
      </c>
    </row>
    <row r="70" customFormat="false" ht="15" hidden="false" customHeight="false" outlineLevel="0" collapsed="false">
      <c r="A70" s="82" t="s">
        <v>533</v>
      </c>
      <c r="B70" s="30" t="n">
        <f aca="false">D38</f>
        <v>-104973.4298155</v>
      </c>
    </row>
    <row r="71" customFormat="false" ht="15" hidden="false" customHeight="false" outlineLevel="0" collapsed="false">
      <c r="A71" s="5" t="s">
        <v>534</v>
      </c>
      <c r="B71" s="30" t="n">
        <f aca="false">B40</f>
        <v>252248.01378082</v>
      </c>
    </row>
    <row r="72" customFormat="false" ht="15" hidden="false" customHeight="false" outlineLevel="0" collapsed="false">
      <c r="A72" s="5" t="s">
        <v>535</v>
      </c>
      <c r="B72" s="37" t="n">
        <f aca="false">ROUND(SUM(B63:B70)-B71,0)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536</v>
      </c>
    </row>
    <row r="3" customFormat="false" ht="15" hidden="false" customHeight="false" outlineLevel="0" collapsed="false">
      <c r="A3" s="26" t="s">
        <v>537</v>
      </c>
    </row>
    <row r="5" customFormat="false" ht="15" hidden="false" customHeight="false" outlineLevel="0" collapsed="false">
      <c r="A5" s="0" t="s">
        <v>538</v>
      </c>
      <c r="B5" s="79" t="s">
        <v>539</v>
      </c>
    </row>
    <row r="6" customFormat="false" ht="15" hidden="false" customHeight="false" outlineLevel="0" collapsed="false">
      <c r="A6" s="0" t="s">
        <v>540</v>
      </c>
      <c r="B6" s="83" t="str">
        <f aca="false">Assumptions!$C$12</f>
        <v>Base</v>
      </c>
    </row>
    <row r="8" customFormat="false" ht="23.85" hidden="false" customHeight="false" outlineLevel="0" collapsed="false">
      <c r="A8" s="27" t="s">
        <v>541</v>
      </c>
      <c r="B8" s="28" t="s">
        <v>542</v>
      </c>
      <c r="C8" s="28" t="s">
        <v>543</v>
      </c>
      <c r="D8" s="28" t="s">
        <v>544</v>
      </c>
      <c r="E8" s="28" t="s">
        <v>545</v>
      </c>
      <c r="F8" s="28" t="s">
        <v>546</v>
      </c>
      <c r="G8" s="28" t="s">
        <v>547</v>
      </c>
    </row>
    <row r="9" customFormat="false" ht="15" hidden="false" customHeight="false" outlineLevel="0" collapsed="false">
      <c r="A9" s="0" t="s">
        <v>548</v>
      </c>
      <c r="B9" s="60" t="s">
        <v>549</v>
      </c>
      <c r="C9" s="84" t="n">
        <v>7663693.79241965</v>
      </c>
      <c r="D9" s="84" t="n">
        <v>7274680.57967632</v>
      </c>
      <c r="E9" s="84" t="n">
        <v>7748727.51998677</v>
      </c>
      <c r="F9" s="85" t="n">
        <f aca="false">PL!$C$14</f>
        <v>7663693.79241965</v>
      </c>
      <c r="G9" s="30" t="n">
        <f aca="false">ROUND(F9-INDEX(C9:E9,Assumptions!$C$11),0)</f>
        <v>0</v>
      </c>
    </row>
    <row r="10" customFormat="false" ht="15" hidden="false" customHeight="false" outlineLevel="0" collapsed="false">
      <c r="A10" s="0" t="s">
        <v>550</v>
      </c>
      <c r="B10" s="60" t="s">
        <v>549</v>
      </c>
      <c r="C10" s="84" t="n">
        <v>8138917.57368681</v>
      </c>
      <c r="D10" s="84" t="n">
        <v>5365007.12011961</v>
      </c>
      <c r="E10" s="84" t="n">
        <v>9575848.43276327</v>
      </c>
      <c r="F10" s="85" t="n">
        <f aca="false">PL!$D$14</f>
        <v>8138917.57368681</v>
      </c>
      <c r="G10" s="30" t="n">
        <f aca="false">ROUND(F10-INDEX(C10:E10,Assumptions!$C$11),0)</f>
        <v>0</v>
      </c>
    </row>
    <row r="11" customFormat="false" ht="15" hidden="false" customHeight="false" outlineLevel="0" collapsed="false">
      <c r="A11" s="0" t="s">
        <v>551</v>
      </c>
      <c r="B11" s="60" t="s">
        <v>552</v>
      </c>
      <c r="C11" s="86" t="n">
        <v>0.368846974934972</v>
      </c>
      <c r="D11" s="86" t="n">
        <v>0.352896316221189</v>
      </c>
      <c r="E11" s="86" t="n">
        <v>0.372688449260277</v>
      </c>
      <c r="F11" s="87" t="n">
        <f aca="false">PL!$C$24</f>
        <v>0.368846974934972</v>
      </c>
      <c r="G11" s="88" t="n">
        <f aca="false">ROUND(F11-INDEX(C11:E11,Assumptions!$C$11),4)</f>
        <v>0</v>
      </c>
    </row>
    <row r="12" customFormat="false" ht="15" hidden="false" customHeight="false" outlineLevel="0" collapsed="false">
      <c r="A12" s="0" t="s">
        <v>553</v>
      </c>
      <c r="B12" s="60" t="s">
        <v>549</v>
      </c>
      <c r="C12" s="84" t="n">
        <v>912882.484438358</v>
      </c>
      <c r="D12" s="84" t="n">
        <v>650541.411043456</v>
      </c>
      <c r="E12" s="84" t="n">
        <v>970026.323175071</v>
      </c>
      <c r="F12" s="85" t="n">
        <f aca="false">PL!$C$42</f>
        <v>912882.484438358</v>
      </c>
      <c r="G12" s="30" t="n">
        <f aca="false">ROUND(F12-INDEX(C12:E12,Assumptions!$C$11),0)</f>
        <v>0</v>
      </c>
    </row>
    <row r="13" customFormat="false" ht="15" hidden="false" customHeight="false" outlineLevel="0" collapsed="false">
      <c r="A13" s="0" t="s">
        <v>554</v>
      </c>
      <c r="B13" s="60" t="s">
        <v>552</v>
      </c>
      <c r="C13" s="86" t="n">
        <v>0.119117818269476</v>
      </c>
      <c r="D13" s="86" t="n">
        <v>0.0894254261638524</v>
      </c>
      <c r="E13" s="86" t="n">
        <v>0.125185241147404</v>
      </c>
      <c r="F13" s="87" t="n">
        <f aca="false">PL!$C$43</f>
        <v>0.119117818269476</v>
      </c>
      <c r="G13" s="88" t="n">
        <f aca="false">ROUND(F13-INDEX(C13:E13,Assumptions!$C$11),4)</f>
        <v>0</v>
      </c>
    </row>
    <row r="14" customFormat="false" ht="15" hidden="false" customHeight="false" outlineLevel="0" collapsed="false">
      <c r="A14" s="0" t="s">
        <v>555</v>
      </c>
      <c r="B14" s="60" t="s">
        <v>549</v>
      </c>
      <c r="C14" s="84" t="n">
        <v>528870.350934448</v>
      </c>
      <c r="D14" s="84" t="n">
        <v>353226.182491515</v>
      </c>
      <c r="E14" s="84" t="n">
        <v>567123.52484773</v>
      </c>
      <c r="F14" s="85" t="n">
        <f aca="false">PL!$C$51</f>
        <v>528870.350934448</v>
      </c>
      <c r="G14" s="30" t="n">
        <f aca="false">ROUND(F14-INDEX(C14:E14,Assumptions!$C$11),0)</f>
        <v>0</v>
      </c>
    </row>
    <row r="15" customFormat="false" ht="15" hidden="false" customHeight="false" outlineLevel="0" collapsed="false">
      <c r="A15" s="0" t="s">
        <v>556</v>
      </c>
      <c r="B15" s="60" t="s">
        <v>552</v>
      </c>
      <c r="C15" s="86" t="n">
        <v>0.348415162107065</v>
      </c>
      <c r="D15" s="86" t="n">
        <v>0.242596723737748</v>
      </c>
      <c r="E15" s="86" t="n">
        <v>0.422036221780481</v>
      </c>
      <c r="F15" s="87" t="n">
        <f aca="false">PL!$D$24</f>
        <v>0.348415162107065</v>
      </c>
      <c r="G15" s="88" t="n">
        <f aca="false">ROUND(F15-INDEX(C15:E15,Assumptions!$C$11),4)</f>
        <v>0</v>
      </c>
    </row>
    <row r="16" customFormat="false" ht="15" hidden="false" customHeight="false" outlineLevel="0" collapsed="false">
      <c r="A16" s="0" t="s">
        <v>557</v>
      </c>
      <c r="B16" s="60" t="s">
        <v>549</v>
      </c>
      <c r="C16" s="84" t="n">
        <v>981860.366101296</v>
      </c>
      <c r="D16" s="84" t="n">
        <v>-458595.053750108</v>
      </c>
      <c r="E16" s="84" t="n">
        <v>2158256.61162621</v>
      </c>
      <c r="F16" s="85" t="n">
        <f aca="false">PL!$D$42</f>
        <v>981860.366101296</v>
      </c>
      <c r="G16" s="30" t="n">
        <f aca="false">ROUND(F16-INDEX(C16:E16,Assumptions!$C$11),0)</f>
        <v>0</v>
      </c>
    </row>
    <row r="17" customFormat="false" ht="15" hidden="false" customHeight="false" outlineLevel="0" collapsed="false">
      <c r="A17" s="0" t="s">
        <v>558</v>
      </c>
      <c r="B17" s="60" t="s">
        <v>552</v>
      </c>
      <c r="C17" s="86" t="n">
        <v>0.120637708541939</v>
      </c>
      <c r="D17" s="86" t="n">
        <v>-0.0854789273308335</v>
      </c>
      <c r="E17" s="86" t="n">
        <v>0.225385419034187</v>
      </c>
      <c r="F17" s="87" t="n">
        <f aca="false">PL!$D$43</f>
        <v>0.120637708541939</v>
      </c>
      <c r="G17" s="88" t="n">
        <f aca="false">ROUND(F17-INDEX(C17:E17,Assumptions!$C$11),4)</f>
        <v>0</v>
      </c>
    </row>
    <row r="18" customFormat="false" ht="15" hidden="false" customHeight="false" outlineLevel="0" collapsed="false">
      <c r="A18" s="0" t="s">
        <v>559</v>
      </c>
      <c r="B18" s="60" t="s">
        <v>549</v>
      </c>
      <c r="C18" s="84" t="n">
        <v>566284.749882144</v>
      </c>
      <c r="D18" s="84" t="n">
        <v>-589067.989416775</v>
      </c>
      <c r="E18" s="84" t="n">
        <v>1354456.74788522</v>
      </c>
      <c r="F18" s="85" t="n">
        <f aca="false">PL!$D$51</f>
        <v>566284.749882144</v>
      </c>
      <c r="G18" s="30" t="n">
        <f aca="false">ROUND(F18-INDEX(C18:E18,Assumptions!$C$11),0)</f>
        <v>0</v>
      </c>
    </row>
    <row r="19" customFormat="false" ht="15" hidden="false" customHeight="false" outlineLevel="0" collapsed="false">
      <c r="A19" s="0" t="s">
        <v>560</v>
      </c>
      <c r="B19" s="60" t="s">
        <v>549</v>
      </c>
      <c r="C19" s="84" t="n">
        <v>967669.938318941</v>
      </c>
      <c r="D19" s="84" t="n">
        <v>385787.168975899</v>
      </c>
      <c r="E19" s="84" t="n">
        <v>962132.98219967</v>
      </c>
      <c r="F19" s="85" t="n">
        <f aca="false">BS!$C$9</f>
        <v>967669.938318941</v>
      </c>
      <c r="G19" s="30" t="n">
        <f aca="false">ROUND(F19-INDEX(C19:E19,Assumptions!$C$11),0)</f>
        <v>0</v>
      </c>
    </row>
    <row r="20" customFormat="false" ht="15" hidden="false" customHeight="false" outlineLevel="0" collapsed="false">
      <c r="A20" s="0" t="s">
        <v>561</v>
      </c>
      <c r="B20" s="60" t="s">
        <v>549</v>
      </c>
      <c r="C20" s="84" t="n">
        <v>1412060.20896387</v>
      </c>
      <c r="D20" s="84" t="n">
        <v>252875.092101456</v>
      </c>
      <c r="E20" s="84" t="n">
        <v>2289943.63158011</v>
      </c>
      <c r="F20" s="85" t="n">
        <f aca="false">BS!$D$9</f>
        <v>1412060.20896387</v>
      </c>
      <c r="G20" s="30" t="n">
        <f aca="false">ROUND(F20-INDEX(C20:E20,Assumptions!$C$11),0)</f>
        <v>0</v>
      </c>
    </row>
    <row r="21" customFormat="false" ht="15" hidden="false" customHeight="false" outlineLevel="0" collapsed="false">
      <c r="A21" s="0" t="s">
        <v>562</v>
      </c>
      <c r="B21" s="60" t="s">
        <v>549</v>
      </c>
      <c r="C21" s="84" t="n">
        <v>703862.942306065</v>
      </c>
      <c r="D21" s="84" t="n">
        <v>252875.092101456</v>
      </c>
      <c r="E21" s="84" t="n">
        <v>706682.3059671</v>
      </c>
      <c r="F21" s="85" t="n">
        <f aca="false">MIN(BS!M9:AB9)</f>
        <v>703862.942306065</v>
      </c>
      <c r="G21" s="30" t="n">
        <f aca="false">ROUND(F21-INDEX(C21:E21,Assumptions!$C$11),0)</f>
        <v>0</v>
      </c>
    </row>
    <row r="22" customFormat="false" ht="15" hidden="false" customHeight="false" outlineLevel="0" collapsed="false">
      <c r="A22" s="0" t="s">
        <v>563</v>
      </c>
      <c r="B22" s="60" t="s">
        <v>564</v>
      </c>
      <c r="C22" s="89" t="n">
        <v>46326</v>
      </c>
      <c r="D22" s="89" t="n">
        <v>46752</v>
      </c>
      <c r="E22" s="89" t="n">
        <v>46326</v>
      </c>
      <c r="F22" s="90" t="n">
        <f aca="false">INDEX(Assumptions!M$186:AB$186,MATCH(F21,BS!M9:AB9,0))</f>
        <v>46326</v>
      </c>
      <c r="G22" s="30" t="n">
        <f aca="false">IF(F22=INDEX(C22:E22,Assumptions!$C$11),0,1)</f>
        <v>0</v>
      </c>
    </row>
    <row r="23" customFormat="false" ht="15" hidden="false" customHeight="false" outlineLevel="0" collapsed="false">
      <c r="A23" s="0" t="s">
        <v>565</v>
      </c>
      <c r="B23" s="60" t="s">
        <v>549</v>
      </c>
      <c r="C23" s="84" t="n">
        <v>103862.942306065</v>
      </c>
      <c r="D23" s="84" t="n">
        <v>-347124.907898544</v>
      </c>
      <c r="E23" s="84" t="n">
        <v>106682.3059671</v>
      </c>
      <c r="F23" s="85" t="n">
        <f aca="false">F21-Assumptions!$C$13</f>
        <v>103862.942306065</v>
      </c>
      <c r="G23" s="30" t="n">
        <f aca="false">ROUND(F23-INDEX(C23:E23,Assumptions!$C$11),0)</f>
        <v>0</v>
      </c>
    </row>
    <row r="24" customFormat="false" ht="15" hidden="false" customHeight="false" outlineLevel="0" collapsed="false">
      <c r="A24" s="0" t="s">
        <v>566</v>
      </c>
      <c r="B24" s="60" t="s">
        <v>552</v>
      </c>
      <c r="C24" s="86" t="n">
        <v>0.66034983194751</v>
      </c>
      <c r="D24" s="86" t="n">
        <v>0.556332800715262</v>
      </c>
      <c r="E24" s="86" t="n">
        <v>0.755023969701111</v>
      </c>
      <c r="F24" s="87" t="n">
        <f aca="false">Capacity!$D$169</f>
        <v>0.66034983194751</v>
      </c>
      <c r="G24" s="88" t="n">
        <f aca="false">ROUND(F24-INDEX(C24:E24,Assumptions!$C$11),4)</f>
        <v>0</v>
      </c>
    </row>
    <row r="25" customFormat="false" ht="15" hidden="false" customHeight="false" outlineLevel="0" collapsed="false">
      <c r="A25" s="0" t="s">
        <v>567</v>
      </c>
      <c r="B25" s="60" t="s">
        <v>552</v>
      </c>
      <c r="C25" s="86" t="n">
        <v>0.884063439723288</v>
      </c>
      <c r="D25" s="86" t="n">
        <v>0.877785402626412</v>
      </c>
      <c r="E25" s="86" t="n">
        <v>0.892333598611785</v>
      </c>
      <c r="F25" s="87" t="n">
        <f aca="false">Time_to_Cash!$D$20</f>
        <v>0.884063439723288</v>
      </c>
      <c r="G25" s="88" t="n">
        <f aca="false">ROUND(F25-INDEX(C25:E25,Assumptions!$C$11),4)</f>
        <v>0</v>
      </c>
    </row>
    <row r="26" customFormat="false" ht="15" hidden="false" customHeight="false" outlineLevel="0" collapsed="false">
      <c r="A26" s="0" t="s">
        <v>568</v>
      </c>
      <c r="B26" s="60" t="s">
        <v>569</v>
      </c>
      <c r="C26" s="91" t="n">
        <v>76.7511458774878</v>
      </c>
      <c r="D26" s="91" t="n">
        <v>94.1168076818201</v>
      </c>
      <c r="E26" s="91" t="n">
        <v>75.9109684216618</v>
      </c>
      <c r="F26" s="92" t="n">
        <f aca="false">Time_to_Cash!$D$35</f>
        <v>76.7511458774878</v>
      </c>
      <c r="G26" s="88" t="n">
        <f aca="false">ROUND(F26-INDEX(C26:E26,Assumptions!$C$11),4)</f>
        <v>0</v>
      </c>
    </row>
    <row r="27" customFormat="false" ht="15" hidden="false" customHeight="false" outlineLevel="0" collapsed="false">
      <c r="A27" s="0" t="s">
        <v>570</v>
      </c>
      <c r="B27" s="60" t="s">
        <v>552</v>
      </c>
      <c r="C27" s="86" t="n">
        <v>0.194195981399746</v>
      </c>
      <c r="D27" s="86" t="n">
        <v>0.216911415140856</v>
      </c>
      <c r="E27" s="86" t="n">
        <v>0.197755223429216</v>
      </c>
      <c r="F27" s="87" t="n">
        <f aca="false">Pipeline!$E$68</f>
        <v>0.194195981399746</v>
      </c>
      <c r="G27" s="88" t="n">
        <f aca="false">ROUND(F27-INDEX(C27:E27,Assumptions!$C$11),4)</f>
        <v>0</v>
      </c>
    </row>
    <row r="28" customFormat="false" ht="15" hidden="false" customHeight="false" outlineLevel="0" collapsed="false">
      <c r="A28" s="0" t="s">
        <v>571</v>
      </c>
      <c r="B28" s="60" t="s">
        <v>552</v>
      </c>
      <c r="C28" s="86" t="n">
        <v>0.86409209785364</v>
      </c>
      <c r="D28" s="86" t="n">
        <v>0.748897602322778</v>
      </c>
      <c r="E28" s="86" t="n">
        <v>0.882438336420714</v>
      </c>
      <c r="F28" s="87" t="n">
        <f aca="false">Pipeline!$D$14</f>
        <v>0.86409209785364</v>
      </c>
      <c r="G28" s="88" t="n">
        <f aca="false">ROUND(F28-INDEX(C28:E28,Assumptions!$C$11),4)</f>
        <v>0</v>
      </c>
    </row>
    <row r="29" customFormat="false" ht="15" hidden="false" customHeight="false" outlineLevel="0" collapsed="false">
      <c r="A29" s="0" t="s">
        <v>572</v>
      </c>
      <c r="B29" s="60" t="s">
        <v>549</v>
      </c>
      <c r="C29" s="84" t="n">
        <v>209368.438558155</v>
      </c>
      <c r="D29" s="84" t="n">
        <v>170704.533719623</v>
      </c>
      <c r="E29" s="84" t="n">
        <v>244395.501377513</v>
      </c>
      <c r="F29" s="85" t="n">
        <f aca="false">PL!$D$55</f>
        <v>209368.438558155</v>
      </c>
      <c r="G29" s="30" t="n">
        <f aca="false">ROUND(F29-INDEX(C29:E29,Assumptions!$C$11),0)</f>
        <v>0</v>
      </c>
    </row>
    <row r="30" customFormat="false" ht="15" hidden="false" customHeight="false" outlineLevel="0" collapsed="false">
      <c r="A30" s="0" t="s">
        <v>573</v>
      </c>
      <c r="B30" s="60" t="s">
        <v>569</v>
      </c>
      <c r="C30" s="91" t="n">
        <v>46.0087910392562</v>
      </c>
      <c r="D30" s="91" t="n">
        <v>35.1652579732871</v>
      </c>
      <c r="E30" s="91" t="n">
        <v>46.3502545407919</v>
      </c>
      <c r="F30" s="92" t="n">
        <f aca="false">People!$D$144</f>
        <v>46.0087910392562</v>
      </c>
      <c r="G30" s="88" t="n">
        <f aca="false">ROUND(F30-INDEX(C30:E30,Assumptions!$C$11),4)</f>
        <v>0</v>
      </c>
    </row>
    <row r="32" customFormat="false" ht="15" hidden="false" customHeight="false" outlineLevel="0" collapsed="false">
      <c r="A32" s="5" t="s">
        <v>574</v>
      </c>
      <c r="G32" s="79" t="n">
        <f aca="false">SUMPRODUCT(ABS(G9:G31))</f>
        <v>0</v>
      </c>
    </row>
    <row r="34" customFormat="false" ht="15" hidden="false" customHeight="false" outlineLevel="0" collapsed="false">
      <c r="A34" s="23" t="s">
        <v>575</v>
      </c>
      <c r="B34" s="24"/>
      <c r="C34" s="24"/>
      <c r="D34" s="24"/>
      <c r="E34" s="24"/>
      <c r="F34" s="24"/>
      <c r="G34" s="24"/>
    </row>
    <row r="35" customFormat="false" ht="15" hidden="false" customHeight="false" outlineLevel="0" collapsed="false">
      <c r="A35" s="0" t="str">
        <f aca="false">Assumptions!A166</f>
        <v>Pipeline win probability factor (applied to the register probabilities)</v>
      </c>
      <c r="B35" s="60" t="str">
        <f aca="false">Assumptions!B166</f>
        <v>x</v>
      </c>
      <c r="C35" s="93" t="n">
        <f aca="false">Assumptions!C166</f>
        <v>1</v>
      </c>
      <c r="D35" s="93" t="n">
        <f aca="false">Assumptions!D166</f>
        <v>1</v>
      </c>
      <c r="E35" s="93" t="n">
        <f aca="false">Assumptions!E166</f>
        <v>1</v>
      </c>
      <c r="F35" s="94" t="n">
        <f aca="false">Assumptions!F166</f>
        <v>1</v>
      </c>
    </row>
    <row r="36" customFormat="false" ht="15" hidden="false" customHeight="false" outlineLevel="0" collapsed="false">
      <c r="A36" s="0" t="str">
        <f aca="false">Assumptions!A167</f>
        <v>Start delay: contracted and pipeline engagements</v>
      </c>
      <c r="B36" s="60" t="str">
        <f aca="false">Assumptions!B167</f>
        <v>months</v>
      </c>
      <c r="C36" s="95" t="n">
        <f aca="false">Assumptions!C167</f>
        <v>0</v>
      </c>
      <c r="D36" s="95" t="n">
        <f aca="false">Assumptions!D167</f>
        <v>1</v>
      </c>
      <c r="E36" s="95" t="n">
        <f aca="false">Assumptions!E167</f>
        <v>0</v>
      </c>
      <c r="F36" s="96" t="n">
        <f aca="false">Assumptions!F167</f>
        <v>0</v>
      </c>
    </row>
    <row r="37" customFormat="false" ht="15" hidden="false" customHeight="false" outlineLevel="0" collapsed="false">
      <c r="A37" s="0" t="str">
        <f aca="false">Assumptions!A168</f>
        <v>New work not yet identified: share of the gap to target utilisation that is sold</v>
      </c>
      <c r="B37" s="60" t="str">
        <f aca="false">Assumptions!B168</f>
        <v>share</v>
      </c>
      <c r="C37" s="65" t="n">
        <f aca="false">Assumptions!C168</f>
        <v>0.8</v>
      </c>
      <c r="D37" s="65" t="n">
        <f aca="false">Assumptions!D168</f>
        <v>0.6</v>
      </c>
      <c r="E37" s="65" t="n">
        <f aca="false">Assumptions!E168</f>
        <v>1</v>
      </c>
      <c r="F37" s="87" t="n">
        <f aca="false">Assumptions!F168</f>
        <v>0.8</v>
      </c>
    </row>
    <row r="38" customFormat="false" ht="15" hidden="false" customHeight="false" outlineLevel="0" collapsed="false">
      <c r="A38" s="0" t="str">
        <f aca="false">Assumptions!A169</f>
        <v>Overrun on remaining hours of fixed-fee and capped engagements</v>
      </c>
      <c r="B38" s="60" t="n">
        <f aca="false">Assumptions!B169</f>
        <v>0</v>
      </c>
      <c r="C38" s="65" t="n">
        <f aca="false">Assumptions!C169</f>
        <v>0.05</v>
      </c>
      <c r="D38" s="65" t="n">
        <f aca="false">Assumptions!D169</f>
        <v>0.12</v>
      </c>
      <c r="E38" s="65" t="n">
        <f aca="false">Assumptions!E169</f>
        <v>0</v>
      </c>
      <c r="F38" s="87" t="n">
        <f aca="false">Assumptions!F169</f>
        <v>0.05</v>
      </c>
    </row>
    <row r="39" customFormat="false" ht="15" hidden="false" customHeight="false" outlineLevel="0" collapsed="false">
      <c r="A39" s="0" t="str">
        <f aca="false">Assumptions!A170</f>
        <v>Time and materials write-down: change vs YTD</v>
      </c>
      <c r="B39" s="60" t="n">
        <f aca="false">Assumptions!B170</f>
        <v>0</v>
      </c>
      <c r="C39" s="65" t="n">
        <f aca="false">Assumptions!C170</f>
        <v>0.01</v>
      </c>
      <c r="D39" s="65" t="n">
        <f aca="false">Assumptions!D170</f>
        <v>0.025</v>
      </c>
      <c r="E39" s="65" t="n">
        <f aca="false">Assumptions!E170</f>
        <v>0</v>
      </c>
      <c r="F39" s="87" t="n">
        <f aca="false">Assumptions!F170</f>
        <v>0.01</v>
      </c>
    </row>
    <row r="40" customFormat="false" ht="15" hidden="false" customHeight="false" outlineLevel="0" collapsed="false">
      <c r="A40" s="0" t="str">
        <f aca="false">Assumptions!A171</f>
        <v>Rate card change from Jan-27 (also re-prices running T&amp;M and capped work)</v>
      </c>
      <c r="B40" s="60" t="n">
        <f aca="false">Assumptions!B171</f>
        <v>0</v>
      </c>
      <c r="C40" s="65" t="n">
        <f aca="false">Assumptions!C171</f>
        <v>0.04</v>
      </c>
      <c r="D40" s="65" t="n">
        <f aca="false">Assumptions!D171</f>
        <v>0</v>
      </c>
      <c r="E40" s="65" t="n">
        <f aca="false">Assumptions!E171</f>
        <v>0.05</v>
      </c>
      <c r="F40" s="87" t="n">
        <f aca="false">Assumptions!F171</f>
        <v>0.04</v>
      </c>
    </row>
    <row r="41" customFormat="false" ht="15" hidden="false" customHeight="false" outlineLevel="0" collapsed="false">
      <c r="A41" s="0" t="str">
        <f aca="false">Assumptions!A172</f>
        <v>Pay increase from Jan-27</v>
      </c>
      <c r="B41" s="60" t="n">
        <f aca="false">Assumptions!B172</f>
        <v>0</v>
      </c>
      <c r="C41" s="65" t="n">
        <f aca="false">Assumptions!C172</f>
        <v>0.04</v>
      </c>
      <c r="D41" s="65" t="n">
        <f aca="false">Assumptions!D172</f>
        <v>0.02</v>
      </c>
      <c r="E41" s="65" t="n">
        <f aca="false">Assumptions!E172</f>
        <v>0.045</v>
      </c>
      <c r="F41" s="87" t="n">
        <f aca="false">Assumptions!F172</f>
        <v>0.04</v>
      </c>
    </row>
    <row r="42" customFormat="false" ht="15" hidden="false" customHeight="false" outlineLevel="0" collapsed="false">
      <c r="A42" s="0" t="str">
        <f aca="false">Assumptions!A173</f>
        <v>Attrition factor (x base rates by grade)</v>
      </c>
      <c r="B42" s="60" t="str">
        <f aca="false">Assumptions!B173</f>
        <v>x</v>
      </c>
      <c r="C42" s="93" t="n">
        <f aca="false">Assumptions!C173</f>
        <v>1</v>
      </c>
      <c r="D42" s="93" t="n">
        <f aca="false">Assumptions!D173</f>
        <v>0.6</v>
      </c>
      <c r="E42" s="93" t="n">
        <f aca="false">Assumptions!E173</f>
        <v>1</v>
      </c>
      <c r="F42" s="94" t="n">
        <f aca="false">Assumptions!F173</f>
        <v>1</v>
      </c>
    </row>
    <row r="43" customFormat="false" ht="15" hidden="false" customHeight="false" outlineLevel="0" collapsed="false">
      <c r="A43" s="0" t="str">
        <f aca="false">Assumptions!A174</f>
        <v>Leavers replaced after the lag (1 = yes, 0 = hiring freeze)</v>
      </c>
      <c r="B43" s="60" t="str">
        <f aca="false">Assumptions!B174</f>
        <v>flag</v>
      </c>
      <c r="C43" s="95" t="n">
        <f aca="false">Assumptions!C174</f>
        <v>1</v>
      </c>
      <c r="D43" s="95" t="n">
        <f aca="false">Assumptions!D174</f>
        <v>0</v>
      </c>
      <c r="E43" s="95" t="n">
        <f aca="false">Assumptions!E174</f>
        <v>1</v>
      </c>
      <c r="F43" s="96" t="n">
        <f aca="false">Assumptions!F174</f>
        <v>1</v>
      </c>
    </row>
    <row r="44" customFormat="false" ht="15" hidden="false" customHeight="false" outlineLevel="0" collapsed="false">
      <c r="A44" s="0" t="str">
        <f aca="false">Assumptions!A175</f>
        <v>Experienced hires in the plan (1 = as planned, 0 = freeze)</v>
      </c>
      <c r="B44" s="60" t="str">
        <f aca="false">Assumptions!B175</f>
        <v>flag</v>
      </c>
      <c r="C44" s="95" t="n">
        <f aca="false">Assumptions!C175</f>
        <v>1</v>
      </c>
      <c r="D44" s="95" t="n">
        <f aca="false">Assumptions!D175</f>
        <v>0</v>
      </c>
      <c r="E44" s="95" t="n">
        <f aca="false">Assumptions!E175</f>
        <v>1</v>
      </c>
      <c r="F44" s="96" t="n">
        <f aca="false">Assumptions!F175</f>
        <v>1</v>
      </c>
    </row>
    <row r="45" customFormat="false" ht="15" hidden="false" customHeight="false" outlineLevel="0" collapsed="false">
      <c r="A45" s="0" t="str">
        <f aca="false">Assumptions!A176</f>
        <v>Graduate intake Sep-27 (1 = yes)</v>
      </c>
      <c r="B45" s="60" t="str">
        <f aca="false">Assumptions!B176</f>
        <v>flag</v>
      </c>
      <c r="C45" s="95" t="n">
        <f aca="false">Assumptions!C176</f>
        <v>1</v>
      </c>
      <c r="D45" s="95" t="n">
        <f aca="false">Assumptions!D176</f>
        <v>0</v>
      </c>
      <c r="E45" s="95" t="n">
        <f aca="false">Assumptions!E176</f>
        <v>1</v>
      </c>
      <c r="F45" s="96" t="n">
        <f aca="false">Assumptions!F176</f>
        <v>1</v>
      </c>
    </row>
    <row r="46" customFormat="false" ht="15" hidden="false" customHeight="false" outlineLevel="0" collapsed="false">
      <c r="A46" s="0" t="str">
        <f aca="false">Assumptions!A177</f>
        <v>Separations of consultants and senior consultants (FTE, management response)</v>
      </c>
      <c r="B46" s="60" t="str">
        <f aca="false">Assumptions!B177</f>
        <v>FTE</v>
      </c>
      <c r="C46" s="67" t="n">
        <f aca="false">Assumptions!C177</f>
        <v>0</v>
      </c>
      <c r="D46" s="67" t="n">
        <f aca="false">Assumptions!D177</f>
        <v>5</v>
      </c>
      <c r="E46" s="67" t="n">
        <f aca="false">Assumptions!E177</f>
        <v>0</v>
      </c>
      <c r="F46" s="92" t="n">
        <f aca="false">Assumptions!F177</f>
        <v>0</v>
      </c>
    </row>
    <row r="47" customFormat="false" ht="15" hidden="false" customHeight="false" outlineLevel="0" collapsed="false">
      <c r="A47" s="0" t="str">
        <f aca="false">Assumptions!A178</f>
        <v>Separations: first month without the leavers</v>
      </c>
      <c r="B47" s="60" t="str">
        <f aca="false">Assumptions!B178</f>
        <v>month</v>
      </c>
      <c r="C47" s="97" t="n">
        <f aca="false">Assumptions!C178</f>
        <v>46507</v>
      </c>
      <c r="D47" s="97" t="n">
        <f aca="false">Assumptions!D178</f>
        <v>46507</v>
      </c>
      <c r="E47" s="97" t="n">
        <f aca="false">Assumptions!E178</f>
        <v>46507</v>
      </c>
      <c r="F47" s="90" t="n">
        <f aca="false">Assumptions!F178</f>
        <v>46507</v>
      </c>
    </row>
    <row r="48" customFormat="false" ht="15" hidden="false" customHeight="false" outlineLevel="0" collapsed="false">
      <c r="A48" s="0" t="str">
        <f aca="false">Assumptions!A179</f>
        <v>Bonus accrual, forecast months (share of target)</v>
      </c>
      <c r="B48" s="60" t="n">
        <f aca="false">Assumptions!B179</f>
        <v>0</v>
      </c>
      <c r="C48" s="65" t="n">
        <f aca="false">Assumptions!C179</f>
        <v>0.85</v>
      </c>
      <c r="D48" s="65" t="n">
        <f aca="false">Assumptions!D179</f>
        <v>0.3</v>
      </c>
      <c r="E48" s="65" t="n">
        <f aca="false">Assumptions!E179</f>
        <v>1</v>
      </c>
      <c r="F48" s="87" t="n">
        <f aca="false">Assumptions!F179</f>
        <v>0.85</v>
      </c>
    </row>
    <row r="49" customFormat="false" ht="15" hidden="false" customHeight="false" outlineLevel="0" collapsed="false">
      <c r="A49" s="0" t="str">
        <f aca="false">Assumptions!A180</f>
        <v>Clients: extra days to collect</v>
      </c>
      <c r="B49" s="60" t="str">
        <f aca="false">Assumptions!B180</f>
        <v>days</v>
      </c>
      <c r="C49" s="95" t="n">
        <f aca="false">Assumptions!C180</f>
        <v>0</v>
      </c>
      <c r="D49" s="95" t="n">
        <f aca="false">Assumptions!D180</f>
        <v>15</v>
      </c>
      <c r="E49" s="95" t="n">
        <f aca="false">Assumptions!E180</f>
        <v>0</v>
      </c>
      <c r="F49" s="96" t="n">
        <f aca="false">Assumptions!F180</f>
        <v>0</v>
      </c>
    </row>
    <row r="50" customFormat="false" ht="15" hidden="false" customHeight="false" outlineLevel="0" collapsed="false">
      <c r="A50" s="0" t="str">
        <f aca="false">Assumptions!A181</f>
        <v>Expected credit loss rate on receivables, forecast</v>
      </c>
      <c r="B50" s="60" t="n">
        <f aca="false">Assumptions!B181</f>
        <v>0</v>
      </c>
      <c r="C50" s="98" t="n">
        <f aca="false">Assumptions!C181</f>
        <v>0.005</v>
      </c>
      <c r="D50" s="98" t="n">
        <f aca="false">Assumptions!D181</f>
        <v>0.02</v>
      </c>
      <c r="E50" s="98" t="n">
        <f aca="false">Assumptions!E181</f>
        <v>0.004</v>
      </c>
      <c r="F50" s="99" t="n">
        <f aca="false">Assumptions!F181</f>
        <v>0.005</v>
      </c>
    </row>
    <row r="51" customFormat="false" ht="15" hidden="false" customHeight="false" outlineLevel="0" collapsed="false">
      <c r="A51" s="0" t="str">
        <f aca="false">Assumptions!A182</f>
        <v>Discretionary overheads factor (marketing, training, entertainment)</v>
      </c>
      <c r="B51" s="60" t="str">
        <f aca="false">Assumptions!B182</f>
        <v>x</v>
      </c>
      <c r="C51" s="93" t="n">
        <f aca="false">Assumptions!C182</f>
        <v>1</v>
      </c>
      <c r="D51" s="93" t="n">
        <f aca="false">Assumptions!D182</f>
        <v>0.8</v>
      </c>
      <c r="E51" s="93" t="n">
        <f aca="false">Assumptions!E182</f>
        <v>1.05</v>
      </c>
      <c r="F51" s="94" t="n">
        <f aca="false">Assumptions!F182</f>
        <v>1</v>
      </c>
    </row>
    <row r="52" customFormat="false" ht="15" hidden="false" customHeight="false" outlineLevel="0" collapsed="false">
      <c r="A52" s="0" t="str">
        <f aca="false">Assumptions!A183</f>
        <v>Dividend on FY2026 profit (share of net profit, paid Jun-27)</v>
      </c>
      <c r="B52" s="60" t="n">
        <f aca="false">Assumptions!B183</f>
        <v>0</v>
      </c>
      <c r="C52" s="65" t="n">
        <f aca="false">Assumptions!C183</f>
        <v>0.6</v>
      </c>
      <c r="D52" s="65" t="n">
        <f aca="false">Assumptions!D183</f>
        <v>0</v>
      </c>
      <c r="E52" s="65" t="n">
        <f aca="false">Assumptions!E183</f>
        <v>0.7</v>
      </c>
      <c r="F52" s="87" t="n">
        <f aca="false">Assumptions!F183</f>
        <v>0.6</v>
      </c>
    </row>
    <row r="54" customFormat="false" ht="15" hidden="false" customHeight="false" outlineLevel="0" collapsed="false">
      <c r="A54" s="26" t="s">
        <v>576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8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577</v>
      </c>
    </row>
    <row r="3" customFormat="false" ht="15" hidden="false" customHeight="false" outlineLevel="0" collapsed="false">
      <c r="A3" s="26" t="s">
        <v>578</v>
      </c>
    </row>
    <row r="5" customFormat="false" ht="54" hidden="false" customHeight="true" outlineLevel="0" collapsed="false">
      <c r="A5" s="27" t="s">
        <v>303</v>
      </c>
      <c r="B5" s="28" t="s">
        <v>579</v>
      </c>
      <c r="C5" s="28" t="s">
        <v>580</v>
      </c>
      <c r="D5" s="28" t="s">
        <v>581</v>
      </c>
      <c r="E5" s="28" t="s">
        <v>582</v>
      </c>
      <c r="F5" s="28" t="s">
        <v>583</v>
      </c>
      <c r="G5" s="28" t="s">
        <v>584</v>
      </c>
      <c r="H5" s="28" t="s">
        <v>585</v>
      </c>
      <c r="I5" s="28" t="s">
        <v>586</v>
      </c>
      <c r="J5" s="28" t="s">
        <v>587</v>
      </c>
      <c r="K5" s="28" t="s">
        <v>588</v>
      </c>
      <c r="L5" s="28" t="s">
        <v>589</v>
      </c>
      <c r="M5" s="28" t="s">
        <v>590</v>
      </c>
      <c r="N5" s="28" t="s">
        <v>591</v>
      </c>
      <c r="O5" s="28" t="s">
        <v>592</v>
      </c>
      <c r="P5" s="28" t="s">
        <v>593</v>
      </c>
      <c r="Q5" s="28" t="s">
        <v>594</v>
      </c>
      <c r="R5" s="28" t="s">
        <v>595</v>
      </c>
      <c r="S5" s="28" t="s">
        <v>596</v>
      </c>
      <c r="T5" s="28" t="s">
        <v>597</v>
      </c>
      <c r="U5" s="28" t="s">
        <v>598</v>
      </c>
      <c r="V5" s="28" t="s">
        <v>599</v>
      </c>
      <c r="W5" s="28" t="s">
        <v>600</v>
      </c>
    </row>
    <row r="6" customFormat="false" ht="15" hidden="false" customHeight="false" outlineLevel="0" collapsed="false">
      <c r="A6" s="0" t="s">
        <v>601</v>
      </c>
      <c r="H6" s="100" t="n">
        <v>46283</v>
      </c>
      <c r="I6" s="101" t="n">
        <f aca="false">H6+7</f>
        <v>46290</v>
      </c>
      <c r="J6" s="101" t="n">
        <f aca="false">I6+7</f>
        <v>46297</v>
      </c>
      <c r="K6" s="101" t="n">
        <f aca="false">J6+7</f>
        <v>46304</v>
      </c>
      <c r="L6" s="101" t="n">
        <f aca="false">K6+7</f>
        <v>46311</v>
      </c>
      <c r="M6" s="101" t="n">
        <f aca="false">L6+7</f>
        <v>46318</v>
      </c>
      <c r="N6" s="101" t="n">
        <f aca="false">M6+7</f>
        <v>46325</v>
      </c>
      <c r="O6" s="101" t="n">
        <f aca="false">N6+7</f>
        <v>46332</v>
      </c>
      <c r="P6" s="101" t="n">
        <f aca="false">O6+7</f>
        <v>46339</v>
      </c>
      <c r="Q6" s="101" t="n">
        <f aca="false">P6+7</f>
        <v>46346</v>
      </c>
      <c r="R6" s="101" t="n">
        <f aca="false">Q6+7</f>
        <v>46353</v>
      </c>
      <c r="S6" s="101" t="n">
        <f aca="false">R6+7</f>
        <v>46360</v>
      </c>
      <c r="T6" s="101" t="n">
        <f aca="false">S6+7</f>
        <v>46367</v>
      </c>
    </row>
    <row r="7" customFormat="false" ht="15" hidden="false" customHeight="false" outlineLevel="0" collapsed="false">
      <c r="A7" s="0" t="s">
        <v>602</v>
      </c>
      <c r="B7" s="60" t="s">
        <v>603</v>
      </c>
      <c r="C7" s="102" t="n">
        <v>46276</v>
      </c>
      <c r="H7" s="102" t="n">
        <f aca="false">H6-6</f>
        <v>46277</v>
      </c>
      <c r="I7" s="102" t="n">
        <f aca="false">I6-6</f>
        <v>46284</v>
      </c>
      <c r="J7" s="102" t="n">
        <f aca="false">J6-6</f>
        <v>46291</v>
      </c>
      <c r="K7" s="102" t="n">
        <f aca="false">K6-6</f>
        <v>46298</v>
      </c>
      <c r="L7" s="102" t="n">
        <f aca="false">L6-6</f>
        <v>46305</v>
      </c>
      <c r="M7" s="102" t="n">
        <f aca="false">M6-6</f>
        <v>46312</v>
      </c>
      <c r="N7" s="102" t="n">
        <f aca="false">N6-6</f>
        <v>46319</v>
      </c>
      <c r="O7" s="102" t="n">
        <f aca="false">O6-6</f>
        <v>46326</v>
      </c>
      <c r="P7" s="102" t="n">
        <f aca="false">P6-6</f>
        <v>46333</v>
      </c>
      <c r="Q7" s="102" t="n">
        <f aca="false">Q6-6</f>
        <v>46340</v>
      </c>
      <c r="R7" s="102" t="n">
        <f aca="false">R6-6</f>
        <v>46347</v>
      </c>
      <c r="S7" s="102" t="n">
        <f aca="false">S6-6</f>
        <v>46354</v>
      </c>
      <c r="T7" s="102" t="n">
        <f aca="false">T6-6</f>
        <v>46361</v>
      </c>
    </row>
    <row r="8" customFormat="false" ht="15" hidden="false" customHeight="false" outlineLevel="0" collapsed="false">
      <c r="A8" s="0" t="s">
        <v>604</v>
      </c>
      <c r="H8" s="103" t="n">
        <f aca="false">EOMONTH(H6,0)</f>
        <v>46295</v>
      </c>
      <c r="I8" s="103" t="n">
        <f aca="false">EOMONTH(I6,0)</f>
        <v>46295</v>
      </c>
      <c r="J8" s="103" t="n">
        <f aca="false">EOMONTH(J6,0)</f>
        <v>46326</v>
      </c>
      <c r="K8" s="103" t="n">
        <f aca="false">EOMONTH(K6,0)</f>
        <v>46326</v>
      </c>
      <c r="L8" s="103" t="n">
        <f aca="false">EOMONTH(L6,0)</f>
        <v>46326</v>
      </c>
      <c r="M8" s="103" t="n">
        <f aca="false">EOMONTH(M6,0)</f>
        <v>46326</v>
      </c>
      <c r="N8" s="103" t="n">
        <f aca="false">EOMONTH(N6,0)</f>
        <v>46326</v>
      </c>
      <c r="O8" s="103" t="n">
        <f aca="false">EOMONTH(O6,0)</f>
        <v>46356</v>
      </c>
      <c r="P8" s="103" t="n">
        <f aca="false">EOMONTH(P6,0)</f>
        <v>46356</v>
      </c>
      <c r="Q8" s="103" t="n">
        <f aca="false">EOMONTH(Q6,0)</f>
        <v>46356</v>
      </c>
      <c r="R8" s="103" t="n">
        <f aca="false">EOMONTH(R6,0)</f>
        <v>46356</v>
      </c>
      <c r="S8" s="103" t="n">
        <f aca="false">EOMONTH(S6,0)</f>
        <v>46387</v>
      </c>
      <c r="T8" s="103" t="n">
        <f aca="false">EOMONTH(T6,0)</f>
        <v>46387</v>
      </c>
    </row>
    <row r="10" customFormat="false" ht="15" hidden="false" customHeight="false" outlineLevel="0" collapsed="false">
      <c r="A10" s="23" t="s">
        <v>605</v>
      </c>
      <c r="B10" s="24"/>
      <c r="C10" s="24"/>
      <c r="D10" s="24"/>
      <c r="E10" s="24"/>
      <c r="F10" s="24"/>
      <c r="G10" s="24"/>
      <c r="H10" s="24"/>
      <c r="I10" s="24"/>
      <c r="J10" s="24"/>
      <c r="K10" s="24"/>
      <c r="L10" s="24"/>
      <c r="M10" s="24"/>
      <c r="N10" s="24"/>
      <c r="O10" s="24"/>
      <c r="P10" s="24"/>
      <c r="Q10" s="24"/>
      <c r="R10" s="24"/>
      <c r="S10" s="24"/>
      <c r="T10" s="24"/>
      <c r="U10" s="24"/>
      <c r="V10" s="24"/>
      <c r="W10" s="24"/>
    </row>
    <row r="11" customFormat="false" ht="15" hidden="false" customHeight="false" outlineLevel="1" collapsed="false">
      <c r="A11" s="15" t="s">
        <v>606</v>
      </c>
      <c r="H11" s="104" t="n">
        <f aca="false">MAX(0,MIN(H$6,Assumptions!M$186)-MAX(H$7,DATE(2026,9,1),$C$7+1)+1)/(Assumptions!M$186-$C$7)</f>
        <v>0.368421052631579</v>
      </c>
      <c r="I11" s="104" t="n">
        <f aca="false">MAX(0,MIN(I$6,Assumptions!M$186)-MAX(I$7,DATE(2026,9,1),$C$7+1)+1)/(Assumptions!M$186-$C$7)</f>
        <v>0.368421052631579</v>
      </c>
      <c r="J11" s="104" t="n">
        <f aca="false">MAX(0,MIN(J$6,Assumptions!M$186)-MAX(J$7,DATE(2026,9,1),$C$7+1)+1)/(Assumptions!M$186-$C$7)</f>
        <v>0.263157894736842</v>
      </c>
      <c r="K11" s="104" t="n">
        <f aca="false">MAX(0,MIN(K$6,Assumptions!M$186)-MAX(K$7,DATE(2026,9,1),$C$7+1)+1)/(Assumptions!M$186-$C$7)</f>
        <v>0</v>
      </c>
      <c r="L11" s="104" t="n">
        <f aca="false">MAX(0,MIN(L$6,Assumptions!M$186)-MAX(L$7,DATE(2026,9,1),$C$7+1)+1)/(Assumptions!M$186-$C$7)</f>
        <v>0</v>
      </c>
      <c r="M11" s="104" t="n">
        <f aca="false">MAX(0,MIN(M$6,Assumptions!M$186)-MAX(M$7,DATE(2026,9,1),$C$7+1)+1)/(Assumptions!M$186-$C$7)</f>
        <v>0</v>
      </c>
      <c r="N11" s="104" t="n">
        <f aca="false">MAX(0,MIN(N$6,Assumptions!M$186)-MAX(N$7,DATE(2026,9,1),$C$7+1)+1)/(Assumptions!M$186-$C$7)</f>
        <v>0</v>
      </c>
      <c r="O11" s="104" t="n">
        <f aca="false">MAX(0,MIN(O$6,Assumptions!M$186)-MAX(O$7,DATE(2026,9,1),$C$7+1)+1)/(Assumptions!M$186-$C$7)</f>
        <v>0</v>
      </c>
      <c r="P11" s="104" t="n">
        <f aca="false">MAX(0,MIN(P$6,Assumptions!M$186)-MAX(P$7,DATE(2026,9,1),$C$7+1)+1)/(Assumptions!M$186-$C$7)</f>
        <v>0</v>
      </c>
      <c r="Q11" s="104" t="n">
        <f aca="false">MAX(0,MIN(Q$6,Assumptions!M$186)-MAX(Q$7,DATE(2026,9,1),$C$7+1)+1)/(Assumptions!M$186-$C$7)</f>
        <v>0</v>
      </c>
      <c r="R11" s="104" t="n">
        <f aca="false">MAX(0,MIN(R$6,Assumptions!M$186)-MAX(R$7,DATE(2026,9,1),$C$7+1)+1)/(Assumptions!M$186-$C$7)</f>
        <v>0</v>
      </c>
      <c r="S11" s="104" t="n">
        <f aca="false">MAX(0,MIN(S$6,Assumptions!M$186)-MAX(S$7,DATE(2026,9,1),$C$7+1)+1)/(Assumptions!M$186-$C$7)</f>
        <v>0</v>
      </c>
      <c r="T11" s="104" t="n">
        <f aca="false">MAX(0,MIN(T$6,Assumptions!M$186)-MAX(T$7,DATE(2026,9,1),$C$7+1)+1)/(Assumptions!M$186-$C$7)</f>
        <v>0</v>
      </c>
      <c r="U11" s="104" t="n">
        <f aca="false">SUM(H11:T11)</f>
        <v>1</v>
      </c>
    </row>
    <row r="12" customFormat="false" ht="15" hidden="false" customHeight="false" outlineLevel="1" collapsed="false">
      <c r="A12" s="15" t="s">
        <v>607</v>
      </c>
      <c r="H12" s="104" t="n">
        <f aca="false">MAX(0,MIN(H$6,Assumptions!N$186)-MAX(H$7,DATE(2026,10,1),$C$7+1)+1)/DAY(Assumptions!N$186)</f>
        <v>0</v>
      </c>
      <c r="I12" s="104" t="n">
        <f aca="false">MAX(0,MIN(I$6,Assumptions!N$186)-MAX(I$7,DATE(2026,10,1),$C$7+1)+1)/DAY(Assumptions!N$186)</f>
        <v>0</v>
      </c>
      <c r="J12" s="104" t="n">
        <f aca="false">MAX(0,MIN(J$6,Assumptions!N$186)-MAX(J$7,DATE(2026,10,1),$C$7+1)+1)/DAY(Assumptions!N$186)</f>
        <v>0.0645161290322581</v>
      </c>
      <c r="K12" s="104" t="n">
        <f aca="false">MAX(0,MIN(K$6,Assumptions!N$186)-MAX(K$7,DATE(2026,10,1),$C$7+1)+1)/DAY(Assumptions!N$186)</f>
        <v>0.225806451612903</v>
      </c>
      <c r="L12" s="104" t="n">
        <f aca="false">MAX(0,MIN(L$6,Assumptions!N$186)-MAX(L$7,DATE(2026,10,1),$C$7+1)+1)/DAY(Assumptions!N$186)</f>
        <v>0.225806451612903</v>
      </c>
      <c r="M12" s="104" t="n">
        <f aca="false">MAX(0,MIN(M$6,Assumptions!N$186)-MAX(M$7,DATE(2026,10,1),$C$7+1)+1)/DAY(Assumptions!N$186)</f>
        <v>0.225806451612903</v>
      </c>
      <c r="N12" s="104" t="n">
        <f aca="false">MAX(0,MIN(N$6,Assumptions!N$186)-MAX(N$7,DATE(2026,10,1),$C$7+1)+1)/DAY(Assumptions!N$186)</f>
        <v>0.225806451612903</v>
      </c>
      <c r="O12" s="104" t="n">
        <f aca="false">MAX(0,MIN(O$6,Assumptions!N$186)-MAX(O$7,DATE(2026,10,1),$C$7+1)+1)/DAY(Assumptions!N$186)</f>
        <v>0.032258064516129</v>
      </c>
      <c r="P12" s="104" t="n">
        <f aca="false">MAX(0,MIN(P$6,Assumptions!N$186)-MAX(P$7,DATE(2026,10,1),$C$7+1)+1)/DAY(Assumptions!N$186)</f>
        <v>0</v>
      </c>
      <c r="Q12" s="104" t="n">
        <f aca="false">MAX(0,MIN(Q$6,Assumptions!N$186)-MAX(Q$7,DATE(2026,10,1),$C$7+1)+1)/DAY(Assumptions!N$186)</f>
        <v>0</v>
      </c>
      <c r="R12" s="104" t="n">
        <f aca="false">MAX(0,MIN(R$6,Assumptions!N$186)-MAX(R$7,DATE(2026,10,1),$C$7+1)+1)/DAY(Assumptions!N$186)</f>
        <v>0</v>
      </c>
      <c r="S12" s="104" t="n">
        <f aca="false">MAX(0,MIN(S$6,Assumptions!N$186)-MAX(S$7,DATE(2026,10,1),$C$7+1)+1)/DAY(Assumptions!N$186)</f>
        <v>0</v>
      </c>
      <c r="T12" s="104" t="n">
        <f aca="false">MAX(0,MIN(T$6,Assumptions!N$186)-MAX(T$7,DATE(2026,10,1),$C$7+1)+1)/DAY(Assumptions!N$186)</f>
        <v>0</v>
      </c>
      <c r="U12" s="104" t="n">
        <f aca="false">SUM(H12:T12)</f>
        <v>1</v>
      </c>
    </row>
    <row r="13" customFormat="false" ht="15" hidden="false" customHeight="false" outlineLevel="1" collapsed="false">
      <c r="A13" s="15" t="s">
        <v>608</v>
      </c>
      <c r="H13" s="104" t="n">
        <f aca="false">MAX(0,MIN(H$6,Assumptions!O$186)-MAX(H$7,DATE(2026,11,1),$C$7+1)+1)/DAY(Assumptions!O$186)</f>
        <v>0</v>
      </c>
      <c r="I13" s="104" t="n">
        <f aca="false">MAX(0,MIN(I$6,Assumptions!O$186)-MAX(I$7,DATE(2026,11,1),$C$7+1)+1)/DAY(Assumptions!O$186)</f>
        <v>0</v>
      </c>
      <c r="J13" s="104" t="n">
        <f aca="false">MAX(0,MIN(J$6,Assumptions!O$186)-MAX(J$7,DATE(2026,11,1),$C$7+1)+1)/DAY(Assumptions!O$186)</f>
        <v>0</v>
      </c>
      <c r="K13" s="104" t="n">
        <f aca="false">MAX(0,MIN(K$6,Assumptions!O$186)-MAX(K$7,DATE(2026,11,1),$C$7+1)+1)/DAY(Assumptions!O$186)</f>
        <v>0</v>
      </c>
      <c r="L13" s="104" t="n">
        <f aca="false">MAX(0,MIN(L$6,Assumptions!O$186)-MAX(L$7,DATE(2026,11,1),$C$7+1)+1)/DAY(Assumptions!O$186)</f>
        <v>0</v>
      </c>
      <c r="M13" s="104" t="n">
        <f aca="false">MAX(0,MIN(M$6,Assumptions!O$186)-MAX(M$7,DATE(2026,11,1),$C$7+1)+1)/DAY(Assumptions!O$186)</f>
        <v>0</v>
      </c>
      <c r="N13" s="104" t="n">
        <f aca="false">MAX(0,MIN(N$6,Assumptions!O$186)-MAX(N$7,DATE(2026,11,1),$C$7+1)+1)/DAY(Assumptions!O$186)</f>
        <v>0</v>
      </c>
      <c r="O13" s="104" t="n">
        <f aca="false">MAX(0,MIN(O$6,Assumptions!O$186)-MAX(O$7,DATE(2026,11,1),$C$7+1)+1)/DAY(Assumptions!O$186)</f>
        <v>0.2</v>
      </c>
      <c r="P13" s="104" t="n">
        <f aca="false">MAX(0,MIN(P$6,Assumptions!O$186)-MAX(P$7,DATE(2026,11,1),$C$7+1)+1)/DAY(Assumptions!O$186)</f>
        <v>0.233333333333333</v>
      </c>
      <c r="Q13" s="104" t="n">
        <f aca="false">MAX(0,MIN(Q$6,Assumptions!O$186)-MAX(Q$7,DATE(2026,11,1),$C$7+1)+1)/DAY(Assumptions!O$186)</f>
        <v>0.233333333333333</v>
      </c>
      <c r="R13" s="104" t="n">
        <f aca="false">MAX(0,MIN(R$6,Assumptions!O$186)-MAX(R$7,DATE(2026,11,1),$C$7+1)+1)/DAY(Assumptions!O$186)</f>
        <v>0.233333333333333</v>
      </c>
      <c r="S13" s="104" t="n">
        <f aca="false">MAX(0,MIN(S$6,Assumptions!O$186)-MAX(S$7,DATE(2026,11,1),$C$7+1)+1)/DAY(Assumptions!O$186)</f>
        <v>0.1</v>
      </c>
      <c r="T13" s="104" t="n">
        <f aca="false">MAX(0,MIN(T$6,Assumptions!O$186)-MAX(T$7,DATE(2026,11,1),$C$7+1)+1)/DAY(Assumptions!O$186)</f>
        <v>0</v>
      </c>
      <c r="U13" s="104" t="n">
        <f aca="false">SUM(H13:T13)</f>
        <v>1</v>
      </c>
    </row>
    <row r="14" customFormat="false" ht="15" hidden="false" customHeight="false" outlineLevel="1" collapsed="false">
      <c r="A14" s="15" t="s">
        <v>609</v>
      </c>
      <c r="H14" s="104" t="n">
        <f aca="false">MAX(0,MIN(H$6,Assumptions!P$186)-MAX(H$7,DATE(2026,12,1),$C$7+1)+1)/DAY(Assumptions!P$186)</f>
        <v>0</v>
      </c>
      <c r="I14" s="104" t="n">
        <f aca="false">MAX(0,MIN(I$6,Assumptions!P$186)-MAX(I$7,DATE(2026,12,1),$C$7+1)+1)/DAY(Assumptions!P$186)</f>
        <v>0</v>
      </c>
      <c r="J14" s="104" t="n">
        <f aca="false">MAX(0,MIN(J$6,Assumptions!P$186)-MAX(J$7,DATE(2026,12,1),$C$7+1)+1)/DAY(Assumptions!P$186)</f>
        <v>0</v>
      </c>
      <c r="K14" s="104" t="n">
        <f aca="false">MAX(0,MIN(K$6,Assumptions!P$186)-MAX(K$7,DATE(2026,12,1),$C$7+1)+1)/DAY(Assumptions!P$186)</f>
        <v>0</v>
      </c>
      <c r="L14" s="104" t="n">
        <f aca="false">MAX(0,MIN(L$6,Assumptions!P$186)-MAX(L$7,DATE(2026,12,1),$C$7+1)+1)/DAY(Assumptions!P$186)</f>
        <v>0</v>
      </c>
      <c r="M14" s="104" t="n">
        <f aca="false">MAX(0,MIN(M$6,Assumptions!P$186)-MAX(M$7,DATE(2026,12,1),$C$7+1)+1)/DAY(Assumptions!P$186)</f>
        <v>0</v>
      </c>
      <c r="N14" s="104" t="n">
        <f aca="false">MAX(0,MIN(N$6,Assumptions!P$186)-MAX(N$7,DATE(2026,12,1),$C$7+1)+1)/DAY(Assumptions!P$186)</f>
        <v>0</v>
      </c>
      <c r="O14" s="104" t="n">
        <f aca="false">MAX(0,MIN(O$6,Assumptions!P$186)-MAX(O$7,DATE(2026,12,1),$C$7+1)+1)/DAY(Assumptions!P$186)</f>
        <v>0</v>
      </c>
      <c r="P14" s="104" t="n">
        <f aca="false">MAX(0,MIN(P$6,Assumptions!P$186)-MAX(P$7,DATE(2026,12,1),$C$7+1)+1)/DAY(Assumptions!P$186)</f>
        <v>0</v>
      </c>
      <c r="Q14" s="104" t="n">
        <f aca="false">MAX(0,MIN(Q$6,Assumptions!P$186)-MAX(Q$7,DATE(2026,12,1),$C$7+1)+1)/DAY(Assumptions!P$186)</f>
        <v>0</v>
      </c>
      <c r="R14" s="104" t="n">
        <f aca="false">MAX(0,MIN(R$6,Assumptions!P$186)-MAX(R$7,DATE(2026,12,1),$C$7+1)+1)/DAY(Assumptions!P$186)</f>
        <v>0</v>
      </c>
      <c r="S14" s="104" t="n">
        <f aca="false">MAX(0,MIN(S$6,Assumptions!P$186)-MAX(S$7,DATE(2026,12,1),$C$7+1)+1)/DAY(Assumptions!P$186)</f>
        <v>0.129032258064516</v>
      </c>
      <c r="T14" s="104" t="n">
        <f aca="false">MAX(0,MIN(T$6,Assumptions!P$186)-MAX(T$7,DATE(2026,12,1),$C$7+1)+1)/DAY(Assumptions!P$186)</f>
        <v>0.225806451612903</v>
      </c>
      <c r="U14" s="104" t="n">
        <f aca="false">SUM(H14:T14)</f>
        <v>0.354838709677419</v>
      </c>
    </row>
    <row r="15" customFormat="false" ht="15" hidden="false" customHeight="false" outlineLevel="1" collapsed="false">
      <c r="A15" s="15" t="s">
        <v>610</v>
      </c>
      <c r="H15" s="104" t="n">
        <f aca="false">IF(AND(DATE(2026,9,10)&gt;=H$7,DATE(2026,9,10)&lt;=H$6,DATE(2026,9,10)&gt;$C$7),1,0)</f>
        <v>0</v>
      </c>
      <c r="I15" s="104" t="n">
        <f aca="false">IF(AND(DATE(2026,9,10)&gt;=I$7,DATE(2026,9,10)&lt;=I$6,DATE(2026,9,10)&gt;$C$7),1,0)</f>
        <v>0</v>
      </c>
      <c r="J15" s="104" t="n">
        <f aca="false">IF(AND(DATE(2026,9,10)&gt;=J$7,DATE(2026,9,10)&lt;=J$6,DATE(2026,9,10)&gt;$C$7),1,0)</f>
        <v>0</v>
      </c>
      <c r="K15" s="104" t="n">
        <f aca="false">IF(AND(DATE(2026,9,10)&gt;=K$7,DATE(2026,9,10)&lt;=K$6,DATE(2026,9,10)&gt;$C$7),1,0)</f>
        <v>0</v>
      </c>
      <c r="L15" s="104" t="n">
        <f aca="false">IF(AND(DATE(2026,9,10)&gt;=L$7,DATE(2026,9,10)&lt;=L$6,DATE(2026,9,10)&gt;$C$7),1,0)</f>
        <v>0</v>
      </c>
      <c r="M15" s="104" t="n">
        <f aca="false">IF(AND(DATE(2026,9,10)&gt;=M$7,DATE(2026,9,10)&lt;=M$6,DATE(2026,9,10)&gt;$C$7),1,0)</f>
        <v>0</v>
      </c>
      <c r="N15" s="104" t="n">
        <f aca="false">IF(AND(DATE(2026,9,10)&gt;=N$7,DATE(2026,9,10)&lt;=N$6,DATE(2026,9,10)&gt;$C$7),1,0)</f>
        <v>0</v>
      </c>
      <c r="O15" s="104" t="n">
        <f aca="false">IF(AND(DATE(2026,9,10)&gt;=O$7,DATE(2026,9,10)&lt;=O$6,DATE(2026,9,10)&gt;$C$7),1,0)</f>
        <v>0</v>
      </c>
      <c r="P15" s="104" t="n">
        <f aca="false">IF(AND(DATE(2026,9,10)&gt;=P$7,DATE(2026,9,10)&lt;=P$6,DATE(2026,9,10)&gt;$C$7),1,0)</f>
        <v>0</v>
      </c>
      <c r="Q15" s="104" t="n">
        <f aca="false">IF(AND(DATE(2026,9,10)&gt;=Q$7,DATE(2026,9,10)&lt;=Q$6,DATE(2026,9,10)&gt;$C$7),1,0)</f>
        <v>0</v>
      </c>
      <c r="R15" s="104" t="n">
        <f aca="false">IF(AND(DATE(2026,9,10)&gt;=R$7,DATE(2026,9,10)&lt;=R$6,DATE(2026,9,10)&gt;$C$7),1,0)</f>
        <v>0</v>
      </c>
      <c r="S15" s="104" t="n">
        <f aca="false">IF(AND(DATE(2026,9,10)&gt;=S$7,DATE(2026,9,10)&lt;=S$6,DATE(2026,9,10)&gt;$C$7),1,0)</f>
        <v>0</v>
      </c>
      <c r="T15" s="104" t="n">
        <f aca="false">IF(AND(DATE(2026,9,10)&gt;=T$7,DATE(2026,9,10)&lt;=T$6,DATE(2026,9,10)&gt;$C$7),1,0)</f>
        <v>0</v>
      </c>
      <c r="U15" s="104" t="n">
        <f aca="false">SUM(H15:T15)</f>
        <v>0</v>
      </c>
    </row>
    <row r="16" customFormat="false" ht="15" hidden="false" customHeight="false" outlineLevel="1" collapsed="false">
      <c r="A16" s="15" t="s">
        <v>611</v>
      </c>
      <c r="H16" s="104" t="n">
        <f aca="false">IF(AND(DATE(2026,10,10)&gt;=H$7,DATE(2026,10,10)&lt;=H$6,DATE(2026,10,10)&gt;$C$7),1,0)</f>
        <v>0</v>
      </c>
      <c r="I16" s="104" t="n">
        <f aca="false">IF(AND(DATE(2026,10,10)&gt;=I$7,DATE(2026,10,10)&lt;=I$6,DATE(2026,10,10)&gt;$C$7),1,0)</f>
        <v>0</v>
      </c>
      <c r="J16" s="104" t="n">
        <f aca="false">IF(AND(DATE(2026,10,10)&gt;=J$7,DATE(2026,10,10)&lt;=J$6,DATE(2026,10,10)&gt;$C$7),1,0)</f>
        <v>0</v>
      </c>
      <c r="K16" s="104" t="n">
        <f aca="false">IF(AND(DATE(2026,10,10)&gt;=K$7,DATE(2026,10,10)&lt;=K$6,DATE(2026,10,10)&gt;$C$7),1,0)</f>
        <v>0</v>
      </c>
      <c r="L16" s="104" t="n">
        <f aca="false">IF(AND(DATE(2026,10,10)&gt;=L$7,DATE(2026,10,10)&lt;=L$6,DATE(2026,10,10)&gt;$C$7),1,0)</f>
        <v>1</v>
      </c>
      <c r="M16" s="104" t="n">
        <f aca="false">IF(AND(DATE(2026,10,10)&gt;=M$7,DATE(2026,10,10)&lt;=M$6,DATE(2026,10,10)&gt;$C$7),1,0)</f>
        <v>0</v>
      </c>
      <c r="N16" s="104" t="n">
        <f aca="false">IF(AND(DATE(2026,10,10)&gt;=N$7,DATE(2026,10,10)&lt;=N$6,DATE(2026,10,10)&gt;$C$7),1,0)</f>
        <v>0</v>
      </c>
      <c r="O16" s="104" t="n">
        <f aca="false">IF(AND(DATE(2026,10,10)&gt;=O$7,DATE(2026,10,10)&lt;=O$6,DATE(2026,10,10)&gt;$C$7),1,0)</f>
        <v>0</v>
      </c>
      <c r="P16" s="104" t="n">
        <f aca="false">IF(AND(DATE(2026,10,10)&gt;=P$7,DATE(2026,10,10)&lt;=P$6,DATE(2026,10,10)&gt;$C$7),1,0)</f>
        <v>0</v>
      </c>
      <c r="Q16" s="104" t="n">
        <f aca="false">IF(AND(DATE(2026,10,10)&gt;=Q$7,DATE(2026,10,10)&lt;=Q$6,DATE(2026,10,10)&gt;$C$7),1,0)</f>
        <v>0</v>
      </c>
      <c r="R16" s="104" t="n">
        <f aca="false">IF(AND(DATE(2026,10,10)&gt;=R$7,DATE(2026,10,10)&lt;=R$6,DATE(2026,10,10)&gt;$C$7),1,0)</f>
        <v>0</v>
      </c>
      <c r="S16" s="104" t="n">
        <f aca="false">IF(AND(DATE(2026,10,10)&gt;=S$7,DATE(2026,10,10)&lt;=S$6,DATE(2026,10,10)&gt;$C$7),1,0)</f>
        <v>0</v>
      </c>
      <c r="T16" s="104" t="n">
        <f aca="false">IF(AND(DATE(2026,10,10)&gt;=T$7,DATE(2026,10,10)&lt;=T$6,DATE(2026,10,10)&gt;$C$7),1,0)</f>
        <v>0</v>
      </c>
      <c r="U16" s="104" t="n">
        <f aca="false">SUM(H16:T16)</f>
        <v>1</v>
      </c>
    </row>
    <row r="17" customFormat="false" ht="15" hidden="false" customHeight="false" outlineLevel="1" collapsed="false">
      <c r="A17" s="15" t="s">
        <v>612</v>
      </c>
      <c r="H17" s="104" t="n">
        <f aca="false">IF(AND(DATE(2026,11,10)&gt;=H$7,DATE(2026,11,10)&lt;=H$6,DATE(2026,11,10)&gt;$C$7),1,0)</f>
        <v>0</v>
      </c>
      <c r="I17" s="104" t="n">
        <f aca="false">IF(AND(DATE(2026,11,10)&gt;=I$7,DATE(2026,11,10)&lt;=I$6,DATE(2026,11,10)&gt;$C$7),1,0)</f>
        <v>0</v>
      </c>
      <c r="J17" s="104" t="n">
        <f aca="false">IF(AND(DATE(2026,11,10)&gt;=J$7,DATE(2026,11,10)&lt;=J$6,DATE(2026,11,10)&gt;$C$7),1,0)</f>
        <v>0</v>
      </c>
      <c r="K17" s="104" t="n">
        <f aca="false">IF(AND(DATE(2026,11,10)&gt;=K$7,DATE(2026,11,10)&lt;=K$6,DATE(2026,11,10)&gt;$C$7),1,0)</f>
        <v>0</v>
      </c>
      <c r="L17" s="104" t="n">
        <f aca="false">IF(AND(DATE(2026,11,10)&gt;=L$7,DATE(2026,11,10)&lt;=L$6,DATE(2026,11,10)&gt;$C$7),1,0)</f>
        <v>0</v>
      </c>
      <c r="M17" s="104" t="n">
        <f aca="false">IF(AND(DATE(2026,11,10)&gt;=M$7,DATE(2026,11,10)&lt;=M$6,DATE(2026,11,10)&gt;$C$7),1,0)</f>
        <v>0</v>
      </c>
      <c r="N17" s="104" t="n">
        <f aca="false">IF(AND(DATE(2026,11,10)&gt;=N$7,DATE(2026,11,10)&lt;=N$6,DATE(2026,11,10)&gt;$C$7),1,0)</f>
        <v>0</v>
      </c>
      <c r="O17" s="104" t="n">
        <f aca="false">IF(AND(DATE(2026,11,10)&gt;=O$7,DATE(2026,11,10)&lt;=O$6,DATE(2026,11,10)&gt;$C$7),1,0)</f>
        <v>0</v>
      </c>
      <c r="P17" s="104" t="n">
        <f aca="false">IF(AND(DATE(2026,11,10)&gt;=P$7,DATE(2026,11,10)&lt;=P$6,DATE(2026,11,10)&gt;$C$7),1,0)</f>
        <v>1</v>
      </c>
      <c r="Q17" s="104" t="n">
        <f aca="false">IF(AND(DATE(2026,11,10)&gt;=Q$7,DATE(2026,11,10)&lt;=Q$6,DATE(2026,11,10)&gt;$C$7),1,0)</f>
        <v>0</v>
      </c>
      <c r="R17" s="104" t="n">
        <f aca="false">IF(AND(DATE(2026,11,10)&gt;=R$7,DATE(2026,11,10)&lt;=R$6,DATE(2026,11,10)&gt;$C$7),1,0)</f>
        <v>0</v>
      </c>
      <c r="S17" s="104" t="n">
        <f aca="false">IF(AND(DATE(2026,11,10)&gt;=S$7,DATE(2026,11,10)&lt;=S$6,DATE(2026,11,10)&gt;$C$7),1,0)</f>
        <v>0</v>
      </c>
      <c r="T17" s="104" t="n">
        <f aca="false">IF(AND(DATE(2026,11,10)&gt;=T$7,DATE(2026,11,10)&lt;=T$6,DATE(2026,11,10)&gt;$C$7),1,0)</f>
        <v>0</v>
      </c>
      <c r="U17" s="104" t="n">
        <f aca="false">SUM(H17:T17)</f>
        <v>1</v>
      </c>
    </row>
    <row r="18" customFormat="false" ht="15" hidden="false" customHeight="false" outlineLevel="1" collapsed="false">
      <c r="A18" s="15" t="s">
        <v>613</v>
      </c>
      <c r="H18" s="104" t="n">
        <f aca="false">IF(AND(DATE(2026,12,10)&gt;=H$7,DATE(2026,12,10)&lt;=H$6,DATE(2026,12,10)&gt;$C$7),1,0)</f>
        <v>0</v>
      </c>
      <c r="I18" s="104" t="n">
        <f aca="false">IF(AND(DATE(2026,12,10)&gt;=I$7,DATE(2026,12,10)&lt;=I$6,DATE(2026,12,10)&gt;$C$7),1,0)</f>
        <v>0</v>
      </c>
      <c r="J18" s="104" t="n">
        <f aca="false">IF(AND(DATE(2026,12,10)&gt;=J$7,DATE(2026,12,10)&lt;=J$6,DATE(2026,12,10)&gt;$C$7),1,0)</f>
        <v>0</v>
      </c>
      <c r="K18" s="104" t="n">
        <f aca="false">IF(AND(DATE(2026,12,10)&gt;=K$7,DATE(2026,12,10)&lt;=K$6,DATE(2026,12,10)&gt;$C$7),1,0)</f>
        <v>0</v>
      </c>
      <c r="L18" s="104" t="n">
        <f aca="false">IF(AND(DATE(2026,12,10)&gt;=L$7,DATE(2026,12,10)&lt;=L$6,DATE(2026,12,10)&gt;$C$7),1,0)</f>
        <v>0</v>
      </c>
      <c r="M18" s="104" t="n">
        <f aca="false">IF(AND(DATE(2026,12,10)&gt;=M$7,DATE(2026,12,10)&lt;=M$6,DATE(2026,12,10)&gt;$C$7),1,0)</f>
        <v>0</v>
      </c>
      <c r="N18" s="104" t="n">
        <f aca="false">IF(AND(DATE(2026,12,10)&gt;=N$7,DATE(2026,12,10)&lt;=N$6,DATE(2026,12,10)&gt;$C$7),1,0)</f>
        <v>0</v>
      </c>
      <c r="O18" s="104" t="n">
        <f aca="false">IF(AND(DATE(2026,12,10)&gt;=O$7,DATE(2026,12,10)&lt;=O$6,DATE(2026,12,10)&gt;$C$7),1,0)</f>
        <v>0</v>
      </c>
      <c r="P18" s="104" t="n">
        <f aca="false">IF(AND(DATE(2026,12,10)&gt;=P$7,DATE(2026,12,10)&lt;=P$6,DATE(2026,12,10)&gt;$C$7),1,0)</f>
        <v>0</v>
      </c>
      <c r="Q18" s="104" t="n">
        <f aca="false">IF(AND(DATE(2026,12,10)&gt;=Q$7,DATE(2026,12,10)&lt;=Q$6,DATE(2026,12,10)&gt;$C$7),1,0)</f>
        <v>0</v>
      </c>
      <c r="R18" s="104" t="n">
        <f aca="false">IF(AND(DATE(2026,12,10)&gt;=R$7,DATE(2026,12,10)&lt;=R$6,DATE(2026,12,10)&gt;$C$7),1,0)</f>
        <v>0</v>
      </c>
      <c r="S18" s="104" t="n">
        <f aca="false">IF(AND(DATE(2026,12,10)&gt;=S$7,DATE(2026,12,10)&lt;=S$6,DATE(2026,12,10)&gt;$C$7),1,0)</f>
        <v>0</v>
      </c>
      <c r="T18" s="104" t="n">
        <f aca="false">IF(AND(DATE(2026,12,10)&gt;=T$7,DATE(2026,12,10)&lt;=T$6,DATE(2026,12,10)&gt;$C$7),1,0)</f>
        <v>1</v>
      </c>
      <c r="U18" s="104" t="n">
        <f aca="false">SUM(H18:T18)</f>
        <v>1</v>
      </c>
    </row>
    <row r="19" customFormat="false" ht="15" hidden="false" customHeight="false" outlineLevel="1" collapsed="false">
      <c r="A19" s="15" t="s">
        <v>614</v>
      </c>
      <c r="H19" s="104" t="n">
        <f aca="false">IF(AND(DATE(2026,9,15)&gt;=H$7,DATE(2026,9,15)&lt;=H$6,DATE(2026,9,15)&gt;$C$7),1,0)</f>
        <v>1</v>
      </c>
      <c r="I19" s="104" t="n">
        <f aca="false">IF(AND(DATE(2026,9,15)&gt;=I$7,DATE(2026,9,15)&lt;=I$6,DATE(2026,9,15)&gt;$C$7),1,0)</f>
        <v>0</v>
      </c>
      <c r="J19" s="104" t="n">
        <f aca="false">IF(AND(DATE(2026,9,15)&gt;=J$7,DATE(2026,9,15)&lt;=J$6,DATE(2026,9,15)&gt;$C$7),1,0)</f>
        <v>0</v>
      </c>
      <c r="K19" s="104" t="n">
        <f aca="false">IF(AND(DATE(2026,9,15)&gt;=K$7,DATE(2026,9,15)&lt;=K$6,DATE(2026,9,15)&gt;$C$7),1,0)</f>
        <v>0</v>
      </c>
      <c r="L19" s="104" t="n">
        <f aca="false">IF(AND(DATE(2026,9,15)&gt;=L$7,DATE(2026,9,15)&lt;=L$6,DATE(2026,9,15)&gt;$C$7),1,0)</f>
        <v>0</v>
      </c>
      <c r="M19" s="104" t="n">
        <f aca="false">IF(AND(DATE(2026,9,15)&gt;=M$7,DATE(2026,9,15)&lt;=M$6,DATE(2026,9,15)&gt;$C$7),1,0)</f>
        <v>0</v>
      </c>
      <c r="N19" s="104" t="n">
        <f aca="false">IF(AND(DATE(2026,9,15)&gt;=N$7,DATE(2026,9,15)&lt;=N$6,DATE(2026,9,15)&gt;$C$7),1,0)</f>
        <v>0</v>
      </c>
      <c r="O19" s="104" t="n">
        <f aca="false">IF(AND(DATE(2026,9,15)&gt;=O$7,DATE(2026,9,15)&lt;=O$6,DATE(2026,9,15)&gt;$C$7),1,0)</f>
        <v>0</v>
      </c>
      <c r="P19" s="104" t="n">
        <f aca="false">IF(AND(DATE(2026,9,15)&gt;=P$7,DATE(2026,9,15)&lt;=P$6,DATE(2026,9,15)&gt;$C$7),1,0)</f>
        <v>0</v>
      </c>
      <c r="Q19" s="104" t="n">
        <f aca="false">IF(AND(DATE(2026,9,15)&gt;=Q$7,DATE(2026,9,15)&lt;=Q$6,DATE(2026,9,15)&gt;$C$7),1,0)</f>
        <v>0</v>
      </c>
      <c r="R19" s="104" t="n">
        <f aca="false">IF(AND(DATE(2026,9,15)&gt;=R$7,DATE(2026,9,15)&lt;=R$6,DATE(2026,9,15)&gt;$C$7),1,0)</f>
        <v>0</v>
      </c>
      <c r="S19" s="104" t="n">
        <f aca="false">IF(AND(DATE(2026,9,15)&gt;=S$7,DATE(2026,9,15)&lt;=S$6,DATE(2026,9,15)&gt;$C$7),1,0)</f>
        <v>0</v>
      </c>
      <c r="T19" s="104" t="n">
        <f aca="false">IF(AND(DATE(2026,9,15)&gt;=T$7,DATE(2026,9,15)&lt;=T$6,DATE(2026,9,15)&gt;$C$7),1,0)</f>
        <v>0</v>
      </c>
      <c r="U19" s="104" t="n">
        <f aca="false">SUM(H19:T19)</f>
        <v>1</v>
      </c>
    </row>
    <row r="20" customFormat="false" ht="15" hidden="false" customHeight="false" outlineLevel="1" collapsed="false">
      <c r="A20" s="15" t="s">
        <v>615</v>
      </c>
      <c r="H20" s="104" t="n">
        <f aca="false">IF(AND(DATE(2026,10,15)&gt;=H$7,DATE(2026,10,15)&lt;=H$6,DATE(2026,10,15)&gt;$C$7),1,0)</f>
        <v>0</v>
      </c>
      <c r="I20" s="104" t="n">
        <f aca="false">IF(AND(DATE(2026,10,15)&gt;=I$7,DATE(2026,10,15)&lt;=I$6,DATE(2026,10,15)&gt;$C$7),1,0)</f>
        <v>0</v>
      </c>
      <c r="J20" s="104" t="n">
        <f aca="false">IF(AND(DATE(2026,10,15)&gt;=J$7,DATE(2026,10,15)&lt;=J$6,DATE(2026,10,15)&gt;$C$7),1,0)</f>
        <v>0</v>
      </c>
      <c r="K20" s="104" t="n">
        <f aca="false">IF(AND(DATE(2026,10,15)&gt;=K$7,DATE(2026,10,15)&lt;=K$6,DATE(2026,10,15)&gt;$C$7),1,0)</f>
        <v>0</v>
      </c>
      <c r="L20" s="104" t="n">
        <f aca="false">IF(AND(DATE(2026,10,15)&gt;=L$7,DATE(2026,10,15)&lt;=L$6,DATE(2026,10,15)&gt;$C$7),1,0)</f>
        <v>1</v>
      </c>
      <c r="M20" s="104" t="n">
        <f aca="false">IF(AND(DATE(2026,10,15)&gt;=M$7,DATE(2026,10,15)&lt;=M$6,DATE(2026,10,15)&gt;$C$7),1,0)</f>
        <v>0</v>
      </c>
      <c r="N20" s="104" t="n">
        <f aca="false">IF(AND(DATE(2026,10,15)&gt;=N$7,DATE(2026,10,15)&lt;=N$6,DATE(2026,10,15)&gt;$C$7),1,0)</f>
        <v>0</v>
      </c>
      <c r="O20" s="104" t="n">
        <f aca="false">IF(AND(DATE(2026,10,15)&gt;=O$7,DATE(2026,10,15)&lt;=O$6,DATE(2026,10,15)&gt;$C$7),1,0)</f>
        <v>0</v>
      </c>
      <c r="P20" s="104" t="n">
        <f aca="false">IF(AND(DATE(2026,10,15)&gt;=P$7,DATE(2026,10,15)&lt;=P$6,DATE(2026,10,15)&gt;$C$7),1,0)</f>
        <v>0</v>
      </c>
      <c r="Q20" s="104" t="n">
        <f aca="false">IF(AND(DATE(2026,10,15)&gt;=Q$7,DATE(2026,10,15)&lt;=Q$6,DATE(2026,10,15)&gt;$C$7),1,0)</f>
        <v>0</v>
      </c>
      <c r="R20" s="104" t="n">
        <f aca="false">IF(AND(DATE(2026,10,15)&gt;=R$7,DATE(2026,10,15)&lt;=R$6,DATE(2026,10,15)&gt;$C$7),1,0)</f>
        <v>0</v>
      </c>
      <c r="S20" s="104" t="n">
        <f aca="false">IF(AND(DATE(2026,10,15)&gt;=S$7,DATE(2026,10,15)&lt;=S$6,DATE(2026,10,15)&gt;$C$7),1,0)</f>
        <v>0</v>
      </c>
      <c r="T20" s="104" t="n">
        <f aca="false">IF(AND(DATE(2026,10,15)&gt;=T$7,DATE(2026,10,15)&lt;=T$6,DATE(2026,10,15)&gt;$C$7),1,0)</f>
        <v>0</v>
      </c>
      <c r="U20" s="104" t="n">
        <f aca="false">SUM(H20:T20)</f>
        <v>1</v>
      </c>
    </row>
    <row r="21" customFormat="false" ht="15" hidden="false" customHeight="false" outlineLevel="1" collapsed="false">
      <c r="A21" s="15" t="s">
        <v>616</v>
      </c>
      <c r="H21" s="104" t="n">
        <f aca="false">IF(AND(DATE(2026,11,15)&gt;=H$7,DATE(2026,11,15)&lt;=H$6,DATE(2026,11,15)&gt;$C$7),1,0)</f>
        <v>0</v>
      </c>
      <c r="I21" s="104" t="n">
        <f aca="false">IF(AND(DATE(2026,11,15)&gt;=I$7,DATE(2026,11,15)&lt;=I$6,DATE(2026,11,15)&gt;$C$7),1,0)</f>
        <v>0</v>
      </c>
      <c r="J21" s="104" t="n">
        <f aca="false">IF(AND(DATE(2026,11,15)&gt;=J$7,DATE(2026,11,15)&lt;=J$6,DATE(2026,11,15)&gt;$C$7),1,0)</f>
        <v>0</v>
      </c>
      <c r="K21" s="104" t="n">
        <f aca="false">IF(AND(DATE(2026,11,15)&gt;=K$7,DATE(2026,11,15)&lt;=K$6,DATE(2026,11,15)&gt;$C$7),1,0)</f>
        <v>0</v>
      </c>
      <c r="L21" s="104" t="n">
        <f aca="false">IF(AND(DATE(2026,11,15)&gt;=L$7,DATE(2026,11,15)&lt;=L$6,DATE(2026,11,15)&gt;$C$7),1,0)</f>
        <v>0</v>
      </c>
      <c r="M21" s="104" t="n">
        <f aca="false">IF(AND(DATE(2026,11,15)&gt;=M$7,DATE(2026,11,15)&lt;=M$6,DATE(2026,11,15)&gt;$C$7),1,0)</f>
        <v>0</v>
      </c>
      <c r="N21" s="104" t="n">
        <f aca="false">IF(AND(DATE(2026,11,15)&gt;=N$7,DATE(2026,11,15)&lt;=N$6,DATE(2026,11,15)&gt;$C$7),1,0)</f>
        <v>0</v>
      </c>
      <c r="O21" s="104" t="n">
        <f aca="false">IF(AND(DATE(2026,11,15)&gt;=O$7,DATE(2026,11,15)&lt;=O$6,DATE(2026,11,15)&gt;$C$7),1,0)</f>
        <v>0</v>
      </c>
      <c r="P21" s="104" t="n">
        <f aca="false">IF(AND(DATE(2026,11,15)&gt;=P$7,DATE(2026,11,15)&lt;=P$6,DATE(2026,11,15)&gt;$C$7),1,0)</f>
        <v>0</v>
      </c>
      <c r="Q21" s="104" t="n">
        <f aca="false">IF(AND(DATE(2026,11,15)&gt;=Q$7,DATE(2026,11,15)&lt;=Q$6,DATE(2026,11,15)&gt;$C$7),1,0)</f>
        <v>1</v>
      </c>
      <c r="R21" s="104" t="n">
        <f aca="false">IF(AND(DATE(2026,11,15)&gt;=R$7,DATE(2026,11,15)&lt;=R$6,DATE(2026,11,15)&gt;$C$7),1,0)</f>
        <v>0</v>
      </c>
      <c r="S21" s="104" t="n">
        <f aca="false">IF(AND(DATE(2026,11,15)&gt;=S$7,DATE(2026,11,15)&lt;=S$6,DATE(2026,11,15)&gt;$C$7),1,0)</f>
        <v>0</v>
      </c>
      <c r="T21" s="104" t="n">
        <f aca="false">IF(AND(DATE(2026,11,15)&gt;=T$7,DATE(2026,11,15)&lt;=T$6,DATE(2026,11,15)&gt;$C$7),1,0)</f>
        <v>0</v>
      </c>
      <c r="U21" s="104" t="n">
        <f aca="false">SUM(H21:T21)</f>
        <v>1</v>
      </c>
    </row>
    <row r="22" customFormat="false" ht="15" hidden="false" customHeight="false" outlineLevel="1" collapsed="false">
      <c r="A22" s="15" t="s">
        <v>617</v>
      </c>
      <c r="H22" s="104" t="n">
        <f aca="false">IF(AND(DATE(2026,12,15)&gt;=H$7,DATE(2026,12,15)&lt;=H$6,DATE(2026,12,15)&gt;$C$7),1,0)</f>
        <v>0</v>
      </c>
      <c r="I22" s="104" t="n">
        <f aca="false">IF(AND(DATE(2026,12,15)&gt;=I$7,DATE(2026,12,15)&lt;=I$6,DATE(2026,12,15)&gt;$C$7),1,0)</f>
        <v>0</v>
      </c>
      <c r="J22" s="104" t="n">
        <f aca="false">IF(AND(DATE(2026,12,15)&gt;=J$7,DATE(2026,12,15)&lt;=J$6,DATE(2026,12,15)&gt;$C$7),1,0)</f>
        <v>0</v>
      </c>
      <c r="K22" s="104" t="n">
        <f aca="false">IF(AND(DATE(2026,12,15)&gt;=K$7,DATE(2026,12,15)&lt;=K$6,DATE(2026,12,15)&gt;$C$7),1,0)</f>
        <v>0</v>
      </c>
      <c r="L22" s="104" t="n">
        <f aca="false">IF(AND(DATE(2026,12,15)&gt;=L$7,DATE(2026,12,15)&lt;=L$6,DATE(2026,12,15)&gt;$C$7),1,0)</f>
        <v>0</v>
      </c>
      <c r="M22" s="104" t="n">
        <f aca="false">IF(AND(DATE(2026,12,15)&gt;=M$7,DATE(2026,12,15)&lt;=M$6,DATE(2026,12,15)&gt;$C$7),1,0)</f>
        <v>0</v>
      </c>
      <c r="N22" s="104" t="n">
        <f aca="false">IF(AND(DATE(2026,12,15)&gt;=N$7,DATE(2026,12,15)&lt;=N$6,DATE(2026,12,15)&gt;$C$7),1,0)</f>
        <v>0</v>
      </c>
      <c r="O22" s="104" t="n">
        <f aca="false">IF(AND(DATE(2026,12,15)&gt;=O$7,DATE(2026,12,15)&lt;=O$6,DATE(2026,12,15)&gt;$C$7),1,0)</f>
        <v>0</v>
      </c>
      <c r="P22" s="104" t="n">
        <f aca="false">IF(AND(DATE(2026,12,15)&gt;=P$7,DATE(2026,12,15)&lt;=P$6,DATE(2026,12,15)&gt;$C$7),1,0)</f>
        <v>0</v>
      </c>
      <c r="Q22" s="104" t="n">
        <f aca="false">IF(AND(DATE(2026,12,15)&gt;=Q$7,DATE(2026,12,15)&lt;=Q$6,DATE(2026,12,15)&gt;$C$7),1,0)</f>
        <v>0</v>
      </c>
      <c r="R22" s="104" t="n">
        <f aca="false">IF(AND(DATE(2026,12,15)&gt;=R$7,DATE(2026,12,15)&lt;=R$6,DATE(2026,12,15)&gt;$C$7),1,0)</f>
        <v>0</v>
      </c>
      <c r="S22" s="104" t="n">
        <f aca="false">IF(AND(DATE(2026,12,15)&gt;=S$7,DATE(2026,12,15)&lt;=S$6,DATE(2026,12,15)&gt;$C$7),1,0)</f>
        <v>0</v>
      </c>
      <c r="T22" s="104" t="n">
        <f aca="false">IF(AND(DATE(2026,12,15)&gt;=T$7,DATE(2026,12,15)&lt;=T$6,DATE(2026,12,15)&gt;$C$7),1,0)</f>
        <v>0</v>
      </c>
      <c r="U22" s="104" t="n">
        <f aca="false">SUM(H22:T22)</f>
        <v>0</v>
      </c>
    </row>
    <row r="23" customFormat="false" ht="15" hidden="false" customHeight="false" outlineLevel="1" collapsed="false">
      <c r="A23" s="15" t="s">
        <v>618</v>
      </c>
      <c r="H23" s="104" t="n">
        <f aca="false">IF(AND(DATE(2026,9,28)&gt;=H$7,DATE(2026,9,28)&lt;=H$6,DATE(2026,9,28)&gt;$C$7),1,0)</f>
        <v>0</v>
      </c>
      <c r="I23" s="104" t="n">
        <f aca="false">IF(AND(DATE(2026,9,28)&gt;=I$7,DATE(2026,9,28)&lt;=I$6,DATE(2026,9,28)&gt;$C$7),1,0)</f>
        <v>0</v>
      </c>
      <c r="J23" s="104" t="n">
        <f aca="false">IF(AND(DATE(2026,9,28)&gt;=J$7,DATE(2026,9,28)&lt;=J$6,DATE(2026,9,28)&gt;$C$7),1,0)</f>
        <v>1</v>
      </c>
      <c r="K23" s="104" t="n">
        <f aca="false">IF(AND(DATE(2026,9,28)&gt;=K$7,DATE(2026,9,28)&lt;=K$6,DATE(2026,9,28)&gt;$C$7),1,0)</f>
        <v>0</v>
      </c>
      <c r="L23" s="104" t="n">
        <f aca="false">IF(AND(DATE(2026,9,28)&gt;=L$7,DATE(2026,9,28)&lt;=L$6,DATE(2026,9,28)&gt;$C$7),1,0)</f>
        <v>0</v>
      </c>
      <c r="M23" s="104" t="n">
        <f aca="false">IF(AND(DATE(2026,9,28)&gt;=M$7,DATE(2026,9,28)&lt;=M$6,DATE(2026,9,28)&gt;$C$7),1,0)</f>
        <v>0</v>
      </c>
      <c r="N23" s="104" t="n">
        <f aca="false">IF(AND(DATE(2026,9,28)&gt;=N$7,DATE(2026,9,28)&lt;=N$6,DATE(2026,9,28)&gt;$C$7),1,0)</f>
        <v>0</v>
      </c>
      <c r="O23" s="104" t="n">
        <f aca="false">IF(AND(DATE(2026,9,28)&gt;=O$7,DATE(2026,9,28)&lt;=O$6,DATE(2026,9,28)&gt;$C$7),1,0)</f>
        <v>0</v>
      </c>
      <c r="P23" s="104" t="n">
        <f aca="false">IF(AND(DATE(2026,9,28)&gt;=P$7,DATE(2026,9,28)&lt;=P$6,DATE(2026,9,28)&gt;$C$7),1,0)</f>
        <v>0</v>
      </c>
      <c r="Q23" s="104" t="n">
        <f aca="false">IF(AND(DATE(2026,9,28)&gt;=Q$7,DATE(2026,9,28)&lt;=Q$6,DATE(2026,9,28)&gt;$C$7),1,0)</f>
        <v>0</v>
      </c>
      <c r="R23" s="104" t="n">
        <f aca="false">IF(AND(DATE(2026,9,28)&gt;=R$7,DATE(2026,9,28)&lt;=R$6,DATE(2026,9,28)&gt;$C$7),1,0)</f>
        <v>0</v>
      </c>
      <c r="S23" s="104" t="n">
        <f aca="false">IF(AND(DATE(2026,9,28)&gt;=S$7,DATE(2026,9,28)&lt;=S$6,DATE(2026,9,28)&gt;$C$7),1,0)</f>
        <v>0</v>
      </c>
      <c r="T23" s="104" t="n">
        <f aca="false">IF(AND(DATE(2026,9,28)&gt;=T$7,DATE(2026,9,28)&lt;=T$6,DATE(2026,9,28)&gt;$C$7),1,0)</f>
        <v>0</v>
      </c>
      <c r="U23" s="104" t="n">
        <f aca="false">SUM(H23:T23)</f>
        <v>1</v>
      </c>
    </row>
    <row r="24" customFormat="false" ht="15" hidden="false" customHeight="false" outlineLevel="1" collapsed="false">
      <c r="A24" s="15" t="s">
        <v>619</v>
      </c>
      <c r="H24" s="104" t="n">
        <f aca="false">IF(AND(DATE(2026,10,28)&gt;=H$7,DATE(2026,10,28)&lt;=H$6,DATE(2026,10,28)&gt;$C$7),1,0)</f>
        <v>0</v>
      </c>
      <c r="I24" s="104" t="n">
        <f aca="false">IF(AND(DATE(2026,10,28)&gt;=I$7,DATE(2026,10,28)&lt;=I$6,DATE(2026,10,28)&gt;$C$7),1,0)</f>
        <v>0</v>
      </c>
      <c r="J24" s="104" t="n">
        <f aca="false">IF(AND(DATE(2026,10,28)&gt;=J$7,DATE(2026,10,28)&lt;=J$6,DATE(2026,10,28)&gt;$C$7),1,0)</f>
        <v>0</v>
      </c>
      <c r="K24" s="104" t="n">
        <f aca="false">IF(AND(DATE(2026,10,28)&gt;=K$7,DATE(2026,10,28)&lt;=K$6,DATE(2026,10,28)&gt;$C$7),1,0)</f>
        <v>0</v>
      </c>
      <c r="L24" s="104" t="n">
        <f aca="false">IF(AND(DATE(2026,10,28)&gt;=L$7,DATE(2026,10,28)&lt;=L$6,DATE(2026,10,28)&gt;$C$7),1,0)</f>
        <v>0</v>
      </c>
      <c r="M24" s="104" t="n">
        <f aca="false">IF(AND(DATE(2026,10,28)&gt;=M$7,DATE(2026,10,28)&lt;=M$6,DATE(2026,10,28)&gt;$C$7),1,0)</f>
        <v>0</v>
      </c>
      <c r="N24" s="104" t="n">
        <f aca="false">IF(AND(DATE(2026,10,28)&gt;=N$7,DATE(2026,10,28)&lt;=N$6,DATE(2026,10,28)&gt;$C$7),1,0)</f>
        <v>1</v>
      </c>
      <c r="O24" s="104" t="n">
        <f aca="false">IF(AND(DATE(2026,10,28)&gt;=O$7,DATE(2026,10,28)&lt;=O$6,DATE(2026,10,28)&gt;$C$7),1,0)</f>
        <v>0</v>
      </c>
      <c r="P24" s="104" t="n">
        <f aca="false">IF(AND(DATE(2026,10,28)&gt;=P$7,DATE(2026,10,28)&lt;=P$6,DATE(2026,10,28)&gt;$C$7),1,0)</f>
        <v>0</v>
      </c>
      <c r="Q24" s="104" t="n">
        <f aca="false">IF(AND(DATE(2026,10,28)&gt;=Q$7,DATE(2026,10,28)&lt;=Q$6,DATE(2026,10,28)&gt;$C$7),1,0)</f>
        <v>0</v>
      </c>
      <c r="R24" s="104" t="n">
        <f aca="false">IF(AND(DATE(2026,10,28)&gt;=R$7,DATE(2026,10,28)&lt;=R$6,DATE(2026,10,28)&gt;$C$7),1,0)</f>
        <v>0</v>
      </c>
      <c r="S24" s="104" t="n">
        <f aca="false">IF(AND(DATE(2026,10,28)&gt;=S$7,DATE(2026,10,28)&lt;=S$6,DATE(2026,10,28)&gt;$C$7),1,0)</f>
        <v>0</v>
      </c>
      <c r="T24" s="104" t="n">
        <f aca="false">IF(AND(DATE(2026,10,28)&gt;=T$7,DATE(2026,10,28)&lt;=T$6,DATE(2026,10,28)&gt;$C$7),1,0)</f>
        <v>0</v>
      </c>
      <c r="U24" s="104" t="n">
        <f aca="false">SUM(H24:T24)</f>
        <v>1</v>
      </c>
    </row>
    <row r="25" customFormat="false" ht="15" hidden="false" customHeight="false" outlineLevel="1" collapsed="false">
      <c r="A25" s="15" t="s">
        <v>620</v>
      </c>
      <c r="H25" s="104" t="n">
        <f aca="false">IF(AND(DATE(2026,11,26)&gt;=H$7,DATE(2026,11,26)&lt;=H$6,DATE(2026,11,26)&gt;$C$7),1,0)</f>
        <v>0</v>
      </c>
      <c r="I25" s="104" t="n">
        <f aca="false">IF(AND(DATE(2026,11,26)&gt;=I$7,DATE(2026,11,26)&lt;=I$6,DATE(2026,11,26)&gt;$C$7),1,0)</f>
        <v>0</v>
      </c>
      <c r="J25" s="104" t="n">
        <f aca="false">IF(AND(DATE(2026,11,26)&gt;=J$7,DATE(2026,11,26)&lt;=J$6,DATE(2026,11,26)&gt;$C$7),1,0)</f>
        <v>0</v>
      </c>
      <c r="K25" s="104" t="n">
        <f aca="false">IF(AND(DATE(2026,11,26)&gt;=K$7,DATE(2026,11,26)&lt;=K$6,DATE(2026,11,26)&gt;$C$7),1,0)</f>
        <v>0</v>
      </c>
      <c r="L25" s="104" t="n">
        <f aca="false">IF(AND(DATE(2026,11,26)&gt;=L$7,DATE(2026,11,26)&lt;=L$6,DATE(2026,11,26)&gt;$C$7),1,0)</f>
        <v>0</v>
      </c>
      <c r="M25" s="104" t="n">
        <f aca="false">IF(AND(DATE(2026,11,26)&gt;=M$7,DATE(2026,11,26)&lt;=M$6,DATE(2026,11,26)&gt;$C$7),1,0)</f>
        <v>0</v>
      </c>
      <c r="N25" s="104" t="n">
        <f aca="false">IF(AND(DATE(2026,11,26)&gt;=N$7,DATE(2026,11,26)&lt;=N$6,DATE(2026,11,26)&gt;$C$7),1,0)</f>
        <v>0</v>
      </c>
      <c r="O25" s="104" t="n">
        <f aca="false">IF(AND(DATE(2026,11,26)&gt;=O$7,DATE(2026,11,26)&lt;=O$6,DATE(2026,11,26)&gt;$C$7),1,0)</f>
        <v>0</v>
      </c>
      <c r="P25" s="104" t="n">
        <f aca="false">IF(AND(DATE(2026,11,26)&gt;=P$7,DATE(2026,11,26)&lt;=P$6,DATE(2026,11,26)&gt;$C$7),1,0)</f>
        <v>0</v>
      </c>
      <c r="Q25" s="104" t="n">
        <f aca="false">IF(AND(DATE(2026,11,26)&gt;=Q$7,DATE(2026,11,26)&lt;=Q$6,DATE(2026,11,26)&gt;$C$7),1,0)</f>
        <v>0</v>
      </c>
      <c r="R25" s="104" t="n">
        <f aca="false">IF(AND(DATE(2026,11,26)&gt;=R$7,DATE(2026,11,26)&lt;=R$6,DATE(2026,11,26)&gt;$C$7),1,0)</f>
        <v>1</v>
      </c>
      <c r="S25" s="104" t="n">
        <f aca="false">IF(AND(DATE(2026,11,26)&gt;=S$7,DATE(2026,11,26)&lt;=S$6,DATE(2026,11,26)&gt;$C$7),1,0)</f>
        <v>0</v>
      </c>
      <c r="T25" s="104" t="n">
        <f aca="false">IF(AND(DATE(2026,11,26)&gt;=T$7,DATE(2026,11,26)&lt;=T$6,DATE(2026,11,26)&gt;$C$7),1,0)</f>
        <v>0</v>
      </c>
      <c r="U25" s="104" t="n">
        <f aca="false">SUM(H25:T25)</f>
        <v>1</v>
      </c>
    </row>
    <row r="26" customFormat="false" ht="15" hidden="false" customHeight="false" outlineLevel="1" collapsed="false">
      <c r="A26" s="15" t="s">
        <v>621</v>
      </c>
      <c r="H26" s="104" t="n">
        <f aca="false">IF(AND(DATE(2026,12,28)&gt;=H$7,DATE(2026,12,28)&lt;=H$6,DATE(2026,12,28)&gt;$C$7),1,0)</f>
        <v>0</v>
      </c>
      <c r="I26" s="104" t="n">
        <f aca="false">IF(AND(DATE(2026,12,28)&gt;=I$7,DATE(2026,12,28)&lt;=I$6,DATE(2026,12,28)&gt;$C$7),1,0)</f>
        <v>0</v>
      </c>
      <c r="J26" s="104" t="n">
        <f aca="false">IF(AND(DATE(2026,12,28)&gt;=J$7,DATE(2026,12,28)&lt;=J$6,DATE(2026,12,28)&gt;$C$7),1,0)</f>
        <v>0</v>
      </c>
      <c r="K26" s="104" t="n">
        <f aca="false">IF(AND(DATE(2026,12,28)&gt;=K$7,DATE(2026,12,28)&lt;=K$6,DATE(2026,12,28)&gt;$C$7),1,0)</f>
        <v>0</v>
      </c>
      <c r="L26" s="104" t="n">
        <f aca="false">IF(AND(DATE(2026,12,28)&gt;=L$7,DATE(2026,12,28)&lt;=L$6,DATE(2026,12,28)&gt;$C$7),1,0)</f>
        <v>0</v>
      </c>
      <c r="M26" s="104" t="n">
        <f aca="false">IF(AND(DATE(2026,12,28)&gt;=M$7,DATE(2026,12,28)&lt;=M$6,DATE(2026,12,28)&gt;$C$7),1,0)</f>
        <v>0</v>
      </c>
      <c r="N26" s="104" t="n">
        <f aca="false">IF(AND(DATE(2026,12,28)&gt;=N$7,DATE(2026,12,28)&lt;=N$6,DATE(2026,12,28)&gt;$C$7),1,0)</f>
        <v>0</v>
      </c>
      <c r="O26" s="104" t="n">
        <f aca="false">IF(AND(DATE(2026,12,28)&gt;=O$7,DATE(2026,12,28)&lt;=O$6,DATE(2026,12,28)&gt;$C$7),1,0)</f>
        <v>0</v>
      </c>
      <c r="P26" s="104" t="n">
        <f aca="false">IF(AND(DATE(2026,12,28)&gt;=P$7,DATE(2026,12,28)&lt;=P$6,DATE(2026,12,28)&gt;$C$7),1,0)</f>
        <v>0</v>
      </c>
      <c r="Q26" s="104" t="n">
        <f aca="false">IF(AND(DATE(2026,12,28)&gt;=Q$7,DATE(2026,12,28)&lt;=Q$6,DATE(2026,12,28)&gt;$C$7),1,0)</f>
        <v>0</v>
      </c>
      <c r="R26" s="104" t="n">
        <f aca="false">IF(AND(DATE(2026,12,28)&gt;=R$7,DATE(2026,12,28)&lt;=R$6,DATE(2026,12,28)&gt;$C$7),1,0)</f>
        <v>0</v>
      </c>
      <c r="S26" s="104" t="n">
        <f aca="false">IF(AND(DATE(2026,12,28)&gt;=S$7,DATE(2026,12,28)&lt;=S$6,DATE(2026,12,28)&gt;$C$7),1,0)</f>
        <v>0</v>
      </c>
      <c r="T26" s="104" t="n">
        <f aca="false">IF(AND(DATE(2026,12,28)&gt;=T$7,DATE(2026,12,28)&lt;=T$6,DATE(2026,12,28)&gt;$C$7),1,0)</f>
        <v>0</v>
      </c>
      <c r="U26" s="104" t="n">
        <f aca="false">SUM(H26:T26)</f>
        <v>0</v>
      </c>
    </row>
    <row r="27" customFormat="false" ht="15" hidden="false" customHeight="false" outlineLevel="1" collapsed="false">
      <c r="A27" s="15" t="s">
        <v>622</v>
      </c>
      <c r="H27" s="104" t="n">
        <f aca="false">IF(AND(DATE(2026,9,30)&gt;=H$7,DATE(2026,9,30)&lt;=H$6,DATE(2026,9,30)&gt;$C$7),1,0)</f>
        <v>0</v>
      </c>
      <c r="I27" s="104" t="n">
        <f aca="false">IF(AND(DATE(2026,9,30)&gt;=I$7,DATE(2026,9,30)&lt;=I$6,DATE(2026,9,30)&gt;$C$7),1,0)</f>
        <v>0</v>
      </c>
      <c r="J27" s="104" t="n">
        <f aca="false">IF(AND(DATE(2026,9,30)&gt;=J$7,DATE(2026,9,30)&lt;=J$6,DATE(2026,9,30)&gt;$C$7),1,0)</f>
        <v>1</v>
      </c>
      <c r="K27" s="104" t="n">
        <f aca="false">IF(AND(DATE(2026,9,30)&gt;=K$7,DATE(2026,9,30)&lt;=K$6,DATE(2026,9,30)&gt;$C$7),1,0)</f>
        <v>0</v>
      </c>
      <c r="L27" s="104" t="n">
        <f aca="false">IF(AND(DATE(2026,9,30)&gt;=L$7,DATE(2026,9,30)&lt;=L$6,DATE(2026,9,30)&gt;$C$7),1,0)</f>
        <v>0</v>
      </c>
      <c r="M27" s="104" t="n">
        <f aca="false">IF(AND(DATE(2026,9,30)&gt;=M$7,DATE(2026,9,30)&lt;=M$6,DATE(2026,9,30)&gt;$C$7),1,0)</f>
        <v>0</v>
      </c>
      <c r="N27" s="104" t="n">
        <f aca="false">IF(AND(DATE(2026,9,30)&gt;=N$7,DATE(2026,9,30)&lt;=N$6,DATE(2026,9,30)&gt;$C$7),1,0)</f>
        <v>0</v>
      </c>
      <c r="O27" s="104" t="n">
        <f aca="false">IF(AND(DATE(2026,9,30)&gt;=O$7,DATE(2026,9,30)&lt;=O$6,DATE(2026,9,30)&gt;$C$7),1,0)</f>
        <v>0</v>
      </c>
      <c r="P27" s="104" t="n">
        <f aca="false">IF(AND(DATE(2026,9,30)&gt;=P$7,DATE(2026,9,30)&lt;=P$6,DATE(2026,9,30)&gt;$C$7),1,0)</f>
        <v>0</v>
      </c>
      <c r="Q27" s="104" t="n">
        <f aca="false">IF(AND(DATE(2026,9,30)&gt;=Q$7,DATE(2026,9,30)&lt;=Q$6,DATE(2026,9,30)&gt;$C$7),1,0)</f>
        <v>0</v>
      </c>
      <c r="R27" s="104" t="n">
        <f aca="false">IF(AND(DATE(2026,9,30)&gt;=R$7,DATE(2026,9,30)&lt;=R$6,DATE(2026,9,30)&gt;$C$7),1,0)</f>
        <v>0</v>
      </c>
      <c r="S27" s="104" t="n">
        <f aca="false">IF(AND(DATE(2026,9,30)&gt;=S$7,DATE(2026,9,30)&lt;=S$6,DATE(2026,9,30)&gt;$C$7),1,0)</f>
        <v>0</v>
      </c>
      <c r="T27" s="104" t="n">
        <f aca="false">IF(AND(DATE(2026,9,30)&gt;=T$7,DATE(2026,9,30)&lt;=T$6,DATE(2026,9,30)&gt;$C$7),1,0)</f>
        <v>0</v>
      </c>
      <c r="U27" s="104" t="n">
        <f aca="false">SUM(H27:T27)</f>
        <v>1</v>
      </c>
    </row>
    <row r="28" customFormat="false" ht="15" hidden="false" customHeight="false" outlineLevel="1" collapsed="false">
      <c r="A28" s="15" t="s">
        <v>623</v>
      </c>
      <c r="H28" s="104" t="n">
        <f aca="false">IF(AND(DATE(2026,10,30)&gt;=H$7,DATE(2026,10,30)&lt;=H$6,DATE(2026,10,30)&gt;$C$7),1,0)</f>
        <v>0</v>
      </c>
      <c r="I28" s="104" t="n">
        <f aca="false">IF(AND(DATE(2026,10,30)&gt;=I$7,DATE(2026,10,30)&lt;=I$6,DATE(2026,10,30)&gt;$C$7),1,0)</f>
        <v>0</v>
      </c>
      <c r="J28" s="104" t="n">
        <f aca="false">IF(AND(DATE(2026,10,30)&gt;=J$7,DATE(2026,10,30)&lt;=J$6,DATE(2026,10,30)&gt;$C$7),1,0)</f>
        <v>0</v>
      </c>
      <c r="K28" s="104" t="n">
        <f aca="false">IF(AND(DATE(2026,10,30)&gt;=K$7,DATE(2026,10,30)&lt;=K$6,DATE(2026,10,30)&gt;$C$7),1,0)</f>
        <v>0</v>
      </c>
      <c r="L28" s="104" t="n">
        <f aca="false">IF(AND(DATE(2026,10,30)&gt;=L$7,DATE(2026,10,30)&lt;=L$6,DATE(2026,10,30)&gt;$C$7),1,0)</f>
        <v>0</v>
      </c>
      <c r="M28" s="104" t="n">
        <f aca="false">IF(AND(DATE(2026,10,30)&gt;=M$7,DATE(2026,10,30)&lt;=M$6,DATE(2026,10,30)&gt;$C$7),1,0)</f>
        <v>0</v>
      </c>
      <c r="N28" s="104" t="n">
        <f aca="false">IF(AND(DATE(2026,10,30)&gt;=N$7,DATE(2026,10,30)&lt;=N$6,DATE(2026,10,30)&gt;$C$7),1,0)</f>
        <v>1</v>
      </c>
      <c r="O28" s="104" t="n">
        <f aca="false">IF(AND(DATE(2026,10,30)&gt;=O$7,DATE(2026,10,30)&lt;=O$6,DATE(2026,10,30)&gt;$C$7),1,0)</f>
        <v>0</v>
      </c>
      <c r="P28" s="104" t="n">
        <f aca="false">IF(AND(DATE(2026,10,30)&gt;=P$7,DATE(2026,10,30)&lt;=P$6,DATE(2026,10,30)&gt;$C$7),1,0)</f>
        <v>0</v>
      </c>
      <c r="Q28" s="104" t="n">
        <f aca="false">IF(AND(DATE(2026,10,30)&gt;=Q$7,DATE(2026,10,30)&lt;=Q$6,DATE(2026,10,30)&gt;$C$7),1,0)</f>
        <v>0</v>
      </c>
      <c r="R28" s="104" t="n">
        <f aca="false">IF(AND(DATE(2026,10,30)&gt;=R$7,DATE(2026,10,30)&lt;=R$6,DATE(2026,10,30)&gt;$C$7),1,0)</f>
        <v>0</v>
      </c>
      <c r="S28" s="104" t="n">
        <f aca="false">IF(AND(DATE(2026,10,30)&gt;=S$7,DATE(2026,10,30)&lt;=S$6,DATE(2026,10,30)&gt;$C$7),1,0)</f>
        <v>0</v>
      </c>
      <c r="T28" s="104" t="n">
        <f aca="false">IF(AND(DATE(2026,10,30)&gt;=T$7,DATE(2026,10,30)&lt;=T$6,DATE(2026,10,30)&gt;$C$7),1,0)</f>
        <v>0</v>
      </c>
      <c r="U28" s="104" t="n">
        <f aca="false">SUM(H28:T28)</f>
        <v>1</v>
      </c>
    </row>
    <row r="29" customFormat="false" ht="15" hidden="false" customHeight="false" outlineLevel="1" collapsed="false">
      <c r="A29" s="15" t="s">
        <v>624</v>
      </c>
      <c r="H29" s="104" t="n">
        <f aca="false">IF(AND(DATE(2026,11,30)&gt;=H$7,DATE(2026,11,30)&lt;=H$6,DATE(2026,11,30)&gt;$C$7),1,0)</f>
        <v>0</v>
      </c>
      <c r="I29" s="104" t="n">
        <f aca="false">IF(AND(DATE(2026,11,30)&gt;=I$7,DATE(2026,11,30)&lt;=I$6,DATE(2026,11,30)&gt;$C$7),1,0)</f>
        <v>0</v>
      </c>
      <c r="J29" s="104" t="n">
        <f aca="false">IF(AND(DATE(2026,11,30)&gt;=J$7,DATE(2026,11,30)&lt;=J$6,DATE(2026,11,30)&gt;$C$7),1,0)</f>
        <v>0</v>
      </c>
      <c r="K29" s="104" t="n">
        <f aca="false">IF(AND(DATE(2026,11,30)&gt;=K$7,DATE(2026,11,30)&lt;=K$6,DATE(2026,11,30)&gt;$C$7),1,0)</f>
        <v>0</v>
      </c>
      <c r="L29" s="104" t="n">
        <f aca="false">IF(AND(DATE(2026,11,30)&gt;=L$7,DATE(2026,11,30)&lt;=L$6,DATE(2026,11,30)&gt;$C$7),1,0)</f>
        <v>0</v>
      </c>
      <c r="M29" s="104" t="n">
        <f aca="false">IF(AND(DATE(2026,11,30)&gt;=M$7,DATE(2026,11,30)&lt;=M$6,DATE(2026,11,30)&gt;$C$7),1,0)</f>
        <v>0</v>
      </c>
      <c r="N29" s="104" t="n">
        <f aca="false">IF(AND(DATE(2026,11,30)&gt;=N$7,DATE(2026,11,30)&lt;=N$6,DATE(2026,11,30)&gt;$C$7),1,0)</f>
        <v>0</v>
      </c>
      <c r="O29" s="104" t="n">
        <f aca="false">IF(AND(DATE(2026,11,30)&gt;=O$7,DATE(2026,11,30)&lt;=O$6,DATE(2026,11,30)&gt;$C$7),1,0)</f>
        <v>0</v>
      </c>
      <c r="P29" s="104" t="n">
        <f aca="false">IF(AND(DATE(2026,11,30)&gt;=P$7,DATE(2026,11,30)&lt;=P$6,DATE(2026,11,30)&gt;$C$7),1,0)</f>
        <v>0</v>
      </c>
      <c r="Q29" s="104" t="n">
        <f aca="false">IF(AND(DATE(2026,11,30)&gt;=Q$7,DATE(2026,11,30)&lt;=Q$6,DATE(2026,11,30)&gt;$C$7),1,0)</f>
        <v>0</v>
      </c>
      <c r="R29" s="104" t="n">
        <f aca="false">IF(AND(DATE(2026,11,30)&gt;=R$7,DATE(2026,11,30)&lt;=R$6,DATE(2026,11,30)&gt;$C$7),1,0)</f>
        <v>0</v>
      </c>
      <c r="S29" s="104" t="n">
        <f aca="false">IF(AND(DATE(2026,11,30)&gt;=S$7,DATE(2026,11,30)&lt;=S$6,DATE(2026,11,30)&gt;$C$7),1,0)</f>
        <v>1</v>
      </c>
      <c r="T29" s="104" t="n">
        <f aca="false">IF(AND(DATE(2026,11,30)&gt;=T$7,DATE(2026,11,30)&lt;=T$6,DATE(2026,11,30)&gt;$C$7),1,0)</f>
        <v>0</v>
      </c>
      <c r="U29" s="104" t="n">
        <f aca="false">SUM(H29:T29)</f>
        <v>1</v>
      </c>
    </row>
    <row r="30" customFormat="false" ht="15" hidden="false" customHeight="false" outlineLevel="1" collapsed="false">
      <c r="A30" s="15" t="s">
        <v>625</v>
      </c>
      <c r="H30" s="104" t="n">
        <f aca="false">IF(AND(DATE(2026,12,31)&gt;=H$7,DATE(2026,12,31)&lt;=H$6,DATE(2026,12,31)&gt;$C$7),1,0)</f>
        <v>0</v>
      </c>
      <c r="I30" s="104" t="n">
        <f aca="false">IF(AND(DATE(2026,12,31)&gt;=I$7,DATE(2026,12,31)&lt;=I$6,DATE(2026,12,31)&gt;$C$7),1,0)</f>
        <v>0</v>
      </c>
      <c r="J30" s="104" t="n">
        <f aca="false">IF(AND(DATE(2026,12,31)&gt;=J$7,DATE(2026,12,31)&lt;=J$6,DATE(2026,12,31)&gt;$C$7),1,0)</f>
        <v>0</v>
      </c>
      <c r="K30" s="104" t="n">
        <f aca="false">IF(AND(DATE(2026,12,31)&gt;=K$7,DATE(2026,12,31)&lt;=K$6,DATE(2026,12,31)&gt;$C$7),1,0)</f>
        <v>0</v>
      </c>
      <c r="L30" s="104" t="n">
        <f aca="false">IF(AND(DATE(2026,12,31)&gt;=L$7,DATE(2026,12,31)&lt;=L$6,DATE(2026,12,31)&gt;$C$7),1,0)</f>
        <v>0</v>
      </c>
      <c r="M30" s="104" t="n">
        <f aca="false">IF(AND(DATE(2026,12,31)&gt;=M$7,DATE(2026,12,31)&lt;=M$6,DATE(2026,12,31)&gt;$C$7),1,0)</f>
        <v>0</v>
      </c>
      <c r="N30" s="104" t="n">
        <f aca="false">IF(AND(DATE(2026,12,31)&gt;=N$7,DATE(2026,12,31)&lt;=N$6,DATE(2026,12,31)&gt;$C$7),1,0)</f>
        <v>0</v>
      </c>
      <c r="O30" s="104" t="n">
        <f aca="false">IF(AND(DATE(2026,12,31)&gt;=O$7,DATE(2026,12,31)&lt;=O$6,DATE(2026,12,31)&gt;$C$7),1,0)</f>
        <v>0</v>
      </c>
      <c r="P30" s="104" t="n">
        <f aca="false">IF(AND(DATE(2026,12,31)&gt;=P$7,DATE(2026,12,31)&lt;=P$6,DATE(2026,12,31)&gt;$C$7),1,0)</f>
        <v>0</v>
      </c>
      <c r="Q30" s="104" t="n">
        <f aca="false">IF(AND(DATE(2026,12,31)&gt;=Q$7,DATE(2026,12,31)&lt;=Q$6,DATE(2026,12,31)&gt;$C$7),1,0)</f>
        <v>0</v>
      </c>
      <c r="R30" s="104" t="n">
        <f aca="false">IF(AND(DATE(2026,12,31)&gt;=R$7,DATE(2026,12,31)&lt;=R$6,DATE(2026,12,31)&gt;$C$7),1,0)</f>
        <v>0</v>
      </c>
      <c r="S30" s="104" t="n">
        <f aca="false">IF(AND(DATE(2026,12,31)&gt;=S$7,DATE(2026,12,31)&lt;=S$6,DATE(2026,12,31)&gt;$C$7),1,0)</f>
        <v>0</v>
      </c>
      <c r="T30" s="104" t="n">
        <f aca="false">IF(AND(DATE(2026,12,31)&gt;=T$7,DATE(2026,12,31)&lt;=T$6,DATE(2026,12,31)&gt;$C$7),1,0)</f>
        <v>0</v>
      </c>
      <c r="U30" s="104" t="n">
        <f aca="false">SUM(H30:T30)</f>
        <v>0</v>
      </c>
    </row>
    <row r="31" customFormat="false" ht="15" hidden="false" customHeight="false" outlineLevel="1" collapsed="false">
      <c r="A31" s="15" t="s">
        <v>626</v>
      </c>
      <c r="H31" s="104" t="n">
        <f aca="false">IF(AND(DATE(2026,9,1)&gt;=H$7,DATE(2026,9,1)&lt;=H$6,DATE(2026,9,1)&gt;$C$7),1,0)</f>
        <v>0</v>
      </c>
      <c r="I31" s="104" t="n">
        <f aca="false">IF(AND(DATE(2026,9,1)&gt;=I$7,DATE(2026,9,1)&lt;=I$6,DATE(2026,9,1)&gt;$C$7),1,0)</f>
        <v>0</v>
      </c>
      <c r="J31" s="104" t="n">
        <f aca="false">IF(AND(DATE(2026,9,1)&gt;=J$7,DATE(2026,9,1)&lt;=J$6,DATE(2026,9,1)&gt;$C$7),1,0)</f>
        <v>0</v>
      </c>
      <c r="K31" s="104" t="n">
        <f aca="false">IF(AND(DATE(2026,9,1)&gt;=K$7,DATE(2026,9,1)&lt;=K$6,DATE(2026,9,1)&gt;$C$7),1,0)</f>
        <v>0</v>
      </c>
      <c r="L31" s="104" t="n">
        <f aca="false">IF(AND(DATE(2026,9,1)&gt;=L$7,DATE(2026,9,1)&lt;=L$6,DATE(2026,9,1)&gt;$C$7),1,0)</f>
        <v>0</v>
      </c>
      <c r="M31" s="104" t="n">
        <f aca="false">IF(AND(DATE(2026,9,1)&gt;=M$7,DATE(2026,9,1)&lt;=M$6,DATE(2026,9,1)&gt;$C$7),1,0)</f>
        <v>0</v>
      </c>
      <c r="N31" s="104" t="n">
        <f aca="false">IF(AND(DATE(2026,9,1)&gt;=N$7,DATE(2026,9,1)&lt;=N$6,DATE(2026,9,1)&gt;$C$7),1,0)</f>
        <v>0</v>
      </c>
      <c r="O31" s="104" t="n">
        <f aca="false">IF(AND(DATE(2026,9,1)&gt;=O$7,DATE(2026,9,1)&lt;=O$6,DATE(2026,9,1)&gt;$C$7),1,0)</f>
        <v>0</v>
      </c>
      <c r="P31" s="104" t="n">
        <f aca="false">IF(AND(DATE(2026,9,1)&gt;=P$7,DATE(2026,9,1)&lt;=P$6,DATE(2026,9,1)&gt;$C$7),1,0)</f>
        <v>0</v>
      </c>
      <c r="Q31" s="104" t="n">
        <f aca="false">IF(AND(DATE(2026,9,1)&gt;=Q$7,DATE(2026,9,1)&lt;=Q$6,DATE(2026,9,1)&gt;$C$7),1,0)</f>
        <v>0</v>
      </c>
      <c r="R31" s="104" t="n">
        <f aca="false">IF(AND(DATE(2026,9,1)&gt;=R$7,DATE(2026,9,1)&lt;=R$6,DATE(2026,9,1)&gt;$C$7),1,0)</f>
        <v>0</v>
      </c>
      <c r="S31" s="104" t="n">
        <f aca="false">IF(AND(DATE(2026,9,1)&gt;=S$7,DATE(2026,9,1)&lt;=S$6,DATE(2026,9,1)&gt;$C$7),1,0)</f>
        <v>0</v>
      </c>
      <c r="T31" s="104" t="n">
        <f aca="false">IF(AND(DATE(2026,9,1)&gt;=T$7,DATE(2026,9,1)&lt;=T$6,DATE(2026,9,1)&gt;$C$7),1,0)</f>
        <v>0</v>
      </c>
      <c r="U31" s="104" t="n">
        <f aca="false">SUM(H31:T31)</f>
        <v>0</v>
      </c>
    </row>
    <row r="32" customFormat="false" ht="15" hidden="false" customHeight="false" outlineLevel="1" collapsed="false">
      <c r="A32" s="15" t="s">
        <v>627</v>
      </c>
      <c r="H32" s="104" t="n">
        <f aca="false">IF(AND(DATE(2026,10,1)&gt;=H$7,DATE(2026,10,1)&lt;=H$6,DATE(2026,10,1)&gt;$C$7),1,0)</f>
        <v>0</v>
      </c>
      <c r="I32" s="104" t="n">
        <f aca="false">IF(AND(DATE(2026,10,1)&gt;=I$7,DATE(2026,10,1)&lt;=I$6,DATE(2026,10,1)&gt;$C$7),1,0)</f>
        <v>0</v>
      </c>
      <c r="J32" s="104" t="n">
        <f aca="false">IF(AND(DATE(2026,10,1)&gt;=J$7,DATE(2026,10,1)&lt;=J$6,DATE(2026,10,1)&gt;$C$7),1,0)</f>
        <v>1</v>
      </c>
      <c r="K32" s="104" t="n">
        <f aca="false">IF(AND(DATE(2026,10,1)&gt;=K$7,DATE(2026,10,1)&lt;=K$6,DATE(2026,10,1)&gt;$C$7),1,0)</f>
        <v>0</v>
      </c>
      <c r="L32" s="104" t="n">
        <f aca="false">IF(AND(DATE(2026,10,1)&gt;=L$7,DATE(2026,10,1)&lt;=L$6,DATE(2026,10,1)&gt;$C$7),1,0)</f>
        <v>0</v>
      </c>
      <c r="M32" s="104" t="n">
        <f aca="false">IF(AND(DATE(2026,10,1)&gt;=M$7,DATE(2026,10,1)&lt;=M$6,DATE(2026,10,1)&gt;$C$7),1,0)</f>
        <v>0</v>
      </c>
      <c r="N32" s="104" t="n">
        <f aca="false">IF(AND(DATE(2026,10,1)&gt;=N$7,DATE(2026,10,1)&lt;=N$6,DATE(2026,10,1)&gt;$C$7),1,0)</f>
        <v>0</v>
      </c>
      <c r="O32" s="104" t="n">
        <f aca="false">IF(AND(DATE(2026,10,1)&gt;=O$7,DATE(2026,10,1)&lt;=O$6,DATE(2026,10,1)&gt;$C$7),1,0)</f>
        <v>0</v>
      </c>
      <c r="P32" s="104" t="n">
        <f aca="false">IF(AND(DATE(2026,10,1)&gt;=P$7,DATE(2026,10,1)&lt;=P$6,DATE(2026,10,1)&gt;$C$7),1,0)</f>
        <v>0</v>
      </c>
      <c r="Q32" s="104" t="n">
        <f aca="false">IF(AND(DATE(2026,10,1)&gt;=Q$7,DATE(2026,10,1)&lt;=Q$6,DATE(2026,10,1)&gt;$C$7),1,0)</f>
        <v>0</v>
      </c>
      <c r="R32" s="104" t="n">
        <f aca="false">IF(AND(DATE(2026,10,1)&gt;=R$7,DATE(2026,10,1)&lt;=R$6,DATE(2026,10,1)&gt;$C$7),1,0)</f>
        <v>0</v>
      </c>
      <c r="S32" s="104" t="n">
        <f aca="false">IF(AND(DATE(2026,10,1)&gt;=S$7,DATE(2026,10,1)&lt;=S$6,DATE(2026,10,1)&gt;$C$7),1,0)</f>
        <v>0</v>
      </c>
      <c r="T32" s="104" t="n">
        <f aca="false">IF(AND(DATE(2026,10,1)&gt;=T$7,DATE(2026,10,1)&lt;=T$6,DATE(2026,10,1)&gt;$C$7),1,0)</f>
        <v>0</v>
      </c>
      <c r="U32" s="104" t="n">
        <f aca="false">SUM(H32:T32)</f>
        <v>1</v>
      </c>
    </row>
    <row r="33" customFormat="false" ht="15" hidden="false" customHeight="false" outlineLevel="1" collapsed="false">
      <c r="A33" s="15" t="s">
        <v>628</v>
      </c>
      <c r="H33" s="104" t="n">
        <f aca="false">IF(AND(DATE(2026,11,2)&gt;=H$7,DATE(2026,11,2)&lt;=H$6,DATE(2026,11,2)&gt;$C$7),1,0)</f>
        <v>0</v>
      </c>
      <c r="I33" s="104" t="n">
        <f aca="false">IF(AND(DATE(2026,11,2)&gt;=I$7,DATE(2026,11,2)&lt;=I$6,DATE(2026,11,2)&gt;$C$7),1,0)</f>
        <v>0</v>
      </c>
      <c r="J33" s="104" t="n">
        <f aca="false">IF(AND(DATE(2026,11,2)&gt;=J$7,DATE(2026,11,2)&lt;=J$6,DATE(2026,11,2)&gt;$C$7),1,0)</f>
        <v>0</v>
      </c>
      <c r="K33" s="104" t="n">
        <f aca="false">IF(AND(DATE(2026,11,2)&gt;=K$7,DATE(2026,11,2)&lt;=K$6,DATE(2026,11,2)&gt;$C$7),1,0)</f>
        <v>0</v>
      </c>
      <c r="L33" s="104" t="n">
        <f aca="false">IF(AND(DATE(2026,11,2)&gt;=L$7,DATE(2026,11,2)&lt;=L$6,DATE(2026,11,2)&gt;$C$7),1,0)</f>
        <v>0</v>
      </c>
      <c r="M33" s="104" t="n">
        <f aca="false">IF(AND(DATE(2026,11,2)&gt;=M$7,DATE(2026,11,2)&lt;=M$6,DATE(2026,11,2)&gt;$C$7),1,0)</f>
        <v>0</v>
      </c>
      <c r="N33" s="104" t="n">
        <f aca="false">IF(AND(DATE(2026,11,2)&gt;=N$7,DATE(2026,11,2)&lt;=N$6,DATE(2026,11,2)&gt;$C$7),1,0)</f>
        <v>0</v>
      </c>
      <c r="O33" s="104" t="n">
        <f aca="false">IF(AND(DATE(2026,11,2)&gt;=O$7,DATE(2026,11,2)&lt;=O$6,DATE(2026,11,2)&gt;$C$7),1,0)</f>
        <v>1</v>
      </c>
      <c r="P33" s="104" t="n">
        <f aca="false">IF(AND(DATE(2026,11,2)&gt;=P$7,DATE(2026,11,2)&lt;=P$6,DATE(2026,11,2)&gt;$C$7),1,0)</f>
        <v>0</v>
      </c>
      <c r="Q33" s="104" t="n">
        <f aca="false">IF(AND(DATE(2026,11,2)&gt;=Q$7,DATE(2026,11,2)&lt;=Q$6,DATE(2026,11,2)&gt;$C$7),1,0)</f>
        <v>0</v>
      </c>
      <c r="R33" s="104" t="n">
        <f aca="false">IF(AND(DATE(2026,11,2)&gt;=R$7,DATE(2026,11,2)&lt;=R$6,DATE(2026,11,2)&gt;$C$7),1,0)</f>
        <v>0</v>
      </c>
      <c r="S33" s="104" t="n">
        <f aca="false">IF(AND(DATE(2026,11,2)&gt;=S$7,DATE(2026,11,2)&lt;=S$6,DATE(2026,11,2)&gt;$C$7),1,0)</f>
        <v>0</v>
      </c>
      <c r="T33" s="104" t="n">
        <f aca="false">IF(AND(DATE(2026,11,2)&gt;=T$7,DATE(2026,11,2)&lt;=T$6,DATE(2026,11,2)&gt;$C$7),1,0)</f>
        <v>0</v>
      </c>
      <c r="U33" s="104" t="n">
        <f aca="false">SUM(H33:T33)</f>
        <v>1</v>
      </c>
    </row>
    <row r="34" customFormat="false" ht="15" hidden="false" customHeight="false" outlineLevel="1" collapsed="false">
      <c r="A34" s="15" t="s">
        <v>629</v>
      </c>
      <c r="H34" s="104" t="n">
        <f aca="false">IF(AND(DATE(2026,12,1)&gt;=H$7,DATE(2026,12,1)&lt;=H$6,DATE(2026,12,1)&gt;$C$7),1,0)</f>
        <v>0</v>
      </c>
      <c r="I34" s="104" t="n">
        <f aca="false">IF(AND(DATE(2026,12,1)&gt;=I$7,DATE(2026,12,1)&lt;=I$6,DATE(2026,12,1)&gt;$C$7),1,0)</f>
        <v>0</v>
      </c>
      <c r="J34" s="104" t="n">
        <f aca="false">IF(AND(DATE(2026,12,1)&gt;=J$7,DATE(2026,12,1)&lt;=J$6,DATE(2026,12,1)&gt;$C$7),1,0)</f>
        <v>0</v>
      </c>
      <c r="K34" s="104" t="n">
        <f aca="false">IF(AND(DATE(2026,12,1)&gt;=K$7,DATE(2026,12,1)&lt;=K$6,DATE(2026,12,1)&gt;$C$7),1,0)</f>
        <v>0</v>
      </c>
      <c r="L34" s="104" t="n">
        <f aca="false">IF(AND(DATE(2026,12,1)&gt;=L$7,DATE(2026,12,1)&lt;=L$6,DATE(2026,12,1)&gt;$C$7),1,0)</f>
        <v>0</v>
      </c>
      <c r="M34" s="104" t="n">
        <f aca="false">IF(AND(DATE(2026,12,1)&gt;=M$7,DATE(2026,12,1)&lt;=M$6,DATE(2026,12,1)&gt;$C$7),1,0)</f>
        <v>0</v>
      </c>
      <c r="N34" s="104" t="n">
        <f aca="false">IF(AND(DATE(2026,12,1)&gt;=N$7,DATE(2026,12,1)&lt;=N$6,DATE(2026,12,1)&gt;$C$7),1,0)</f>
        <v>0</v>
      </c>
      <c r="O34" s="104" t="n">
        <f aca="false">IF(AND(DATE(2026,12,1)&gt;=O$7,DATE(2026,12,1)&lt;=O$6,DATE(2026,12,1)&gt;$C$7),1,0)</f>
        <v>0</v>
      </c>
      <c r="P34" s="104" t="n">
        <f aca="false">IF(AND(DATE(2026,12,1)&gt;=P$7,DATE(2026,12,1)&lt;=P$6,DATE(2026,12,1)&gt;$C$7),1,0)</f>
        <v>0</v>
      </c>
      <c r="Q34" s="104" t="n">
        <f aca="false">IF(AND(DATE(2026,12,1)&gt;=Q$7,DATE(2026,12,1)&lt;=Q$6,DATE(2026,12,1)&gt;$C$7),1,0)</f>
        <v>0</v>
      </c>
      <c r="R34" s="104" t="n">
        <f aca="false">IF(AND(DATE(2026,12,1)&gt;=R$7,DATE(2026,12,1)&lt;=R$6,DATE(2026,12,1)&gt;$C$7),1,0)</f>
        <v>0</v>
      </c>
      <c r="S34" s="104" t="n">
        <f aca="false">IF(AND(DATE(2026,12,1)&gt;=S$7,DATE(2026,12,1)&lt;=S$6,DATE(2026,12,1)&gt;$C$7),1,0)</f>
        <v>1</v>
      </c>
      <c r="T34" s="104" t="n">
        <f aca="false">IF(AND(DATE(2026,12,1)&gt;=T$7,DATE(2026,12,1)&lt;=T$6,DATE(2026,12,1)&gt;$C$7),1,0)</f>
        <v>0</v>
      </c>
      <c r="U34" s="104" t="n">
        <f aca="false">SUM(H34:T34)</f>
        <v>1</v>
      </c>
    </row>
    <row r="35" customFormat="false" ht="15" hidden="false" customHeight="false" outlineLevel="1" collapsed="false">
      <c r="A35" s="15" t="s">
        <v>630</v>
      </c>
      <c r="H35" s="104" t="n">
        <f aca="false">IF(AND(Assumptions!M$186&gt;=H$7,Assumptions!M$186&lt;=H$6,Assumptions!M$186&gt;$C$7),1,0)</f>
        <v>0</v>
      </c>
      <c r="I35" s="104" t="n">
        <f aca="false">IF(AND(Assumptions!M$186&gt;=I$7,Assumptions!M$186&lt;=I$6,Assumptions!M$186&gt;$C$7),1,0)</f>
        <v>0</v>
      </c>
      <c r="J35" s="104" t="n">
        <f aca="false">IF(AND(Assumptions!M$186&gt;=J$7,Assumptions!M$186&lt;=J$6,Assumptions!M$186&gt;$C$7),1,0)</f>
        <v>1</v>
      </c>
      <c r="K35" s="104" t="n">
        <f aca="false">IF(AND(Assumptions!M$186&gt;=K$7,Assumptions!M$186&lt;=K$6,Assumptions!M$186&gt;$C$7),1,0)</f>
        <v>0</v>
      </c>
      <c r="L35" s="104" t="n">
        <f aca="false">IF(AND(Assumptions!M$186&gt;=L$7,Assumptions!M$186&lt;=L$6,Assumptions!M$186&gt;$C$7),1,0)</f>
        <v>0</v>
      </c>
      <c r="M35" s="104" t="n">
        <f aca="false">IF(AND(Assumptions!M$186&gt;=M$7,Assumptions!M$186&lt;=M$6,Assumptions!M$186&gt;$C$7),1,0)</f>
        <v>0</v>
      </c>
      <c r="N35" s="104" t="n">
        <f aca="false">IF(AND(Assumptions!M$186&gt;=N$7,Assumptions!M$186&lt;=N$6,Assumptions!M$186&gt;$C$7),1,0)</f>
        <v>0</v>
      </c>
      <c r="O35" s="104" t="n">
        <f aca="false">IF(AND(Assumptions!M$186&gt;=O$7,Assumptions!M$186&lt;=O$6,Assumptions!M$186&gt;$C$7),1,0)</f>
        <v>0</v>
      </c>
      <c r="P35" s="104" t="n">
        <f aca="false">IF(AND(Assumptions!M$186&gt;=P$7,Assumptions!M$186&lt;=P$6,Assumptions!M$186&gt;$C$7),1,0)</f>
        <v>0</v>
      </c>
      <c r="Q35" s="104" t="n">
        <f aca="false">IF(AND(Assumptions!M$186&gt;=Q$7,Assumptions!M$186&lt;=Q$6,Assumptions!M$186&gt;$C$7),1,0)</f>
        <v>0</v>
      </c>
      <c r="R35" s="104" t="n">
        <f aca="false">IF(AND(Assumptions!M$186&gt;=R$7,Assumptions!M$186&lt;=R$6,Assumptions!M$186&gt;$C$7),1,0)</f>
        <v>0</v>
      </c>
      <c r="S35" s="104" t="n">
        <f aca="false">IF(AND(Assumptions!M$186&gt;=S$7,Assumptions!M$186&lt;=S$6,Assumptions!M$186&gt;$C$7),1,0)</f>
        <v>0</v>
      </c>
      <c r="T35" s="104" t="n">
        <f aca="false">IF(AND(Assumptions!M$186&gt;=T$7,Assumptions!M$186&lt;=T$6,Assumptions!M$186&gt;$C$7),1,0)</f>
        <v>0</v>
      </c>
      <c r="U35" s="104" t="n">
        <f aca="false">SUM(H35:T35)</f>
        <v>1</v>
      </c>
    </row>
    <row r="36" customFormat="false" ht="15" hidden="false" customHeight="false" outlineLevel="1" collapsed="false">
      <c r="A36" s="15" t="s">
        <v>631</v>
      </c>
      <c r="H36" s="104" t="n">
        <f aca="false">IF(AND(Assumptions!N$186&gt;=H$7,Assumptions!N$186&lt;=H$6,Assumptions!N$186&gt;$C$7),1,0)</f>
        <v>0</v>
      </c>
      <c r="I36" s="104" t="n">
        <f aca="false">IF(AND(Assumptions!N$186&gt;=I$7,Assumptions!N$186&lt;=I$6,Assumptions!N$186&gt;$C$7),1,0)</f>
        <v>0</v>
      </c>
      <c r="J36" s="104" t="n">
        <f aca="false">IF(AND(Assumptions!N$186&gt;=J$7,Assumptions!N$186&lt;=J$6,Assumptions!N$186&gt;$C$7),1,0)</f>
        <v>0</v>
      </c>
      <c r="K36" s="104" t="n">
        <f aca="false">IF(AND(Assumptions!N$186&gt;=K$7,Assumptions!N$186&lt;=K$6,Assumptions!N$186&gt;$C$7),1,0)</f>
        <v>0</v>
      </c>
      <c r="L36" s="104" t="n">
        <f aca="false">IF(AND(Assumptions!N$186&gt;=L$7,Assumptions!N$186&lt;=L$6,Assumptions!N$186&gt;$C$7),1,0)</f>
        <v>0</v>
      </c>
      <c r="M36" s="104" t="n">
        <f aca="false">IF(AND(Assumptions!N$186&gt;=M$7,Assumptions!N$186&lt;=M$6,Assumptions!N$186&gt;$C$7),1,0)</f>
        <v>0</v>
      </c>
      <c r="N36" s="104" t="n">
        <f aca="false">IF(AND(Assumptions!N$186&gt;=N$7,Assumptions!N$186&lt;=N$6,Assumptions!N$186&gt;$C$7),1,0)</f>
        <v>0</v>
      </c>
      <c r="O36" s="104" t="n">
        <f aca="false">IF(AND(Assumptions!N$186&gt;=O$7,Assumptions!N$186&lt;=O$6,Assumptions!N$186&gt;$C$7),1,0)</f>
        <v>1</v>
      </c>
      <c r="P36" s="104" t="n">
        <f aca="false">IF(AND(Assumptions!N$186&gt;=P$7,Assumptions!N$186&lt;=P$6,Assumptions!N$186&gt;$C$7),1,0)</f>
        <v>0</v>
      </c>
      <c r="Q36" s="104" t="n">
        <f aca="false">IF(AND(Assumptions!N$186&gt;=Q$7,Assumptions!N$186&lt;=Q$6,Assumptions!N$186&gt;$C$7),1,0)</f>
        <v>0</v>
      </c>
      <c r="R36" s="104" t="n">
        <f aca="false">IF(AND(Assumptions!N$186&gt;=R$7,Assumptions!N$186&lt;=R$6,Assumptions!N$186&gt;$C$7),1,0)</f>
        <v>0</v>
      </c>
      <c r="S36" s="104" t="n">
        <f aca="false">IF(AND(Assumptions!N$186&gt;=S$7,Assumptions!N$186&lt;=S$6,Assumptions!N$186&gt;$C$7),1,0)</f>
        <v>0</v>
      </c>
      <c r="T36" s="104" t="n">
        <f aca="false">IF(AND(Assumptions!N$186&gt;=T$7,Assumptions!N$186&lt;=T$6,Assumptions!N$186&gt;$C$7),1,0)</f>
        <v>0</v>
      </c>
      <c r="U36" s="104" t="n">
        <f aca="false">SUM(H36:T36)</f>
        <v>1</v>
      </c>
    </row>
    <row r="37" customFormat="false" ht="15" hidden="false" customHeight="false" outlineLevel="1" collapsed="false">
      <c r="A37" s="15" t="s">
        <v>632</v>
      </c>
      <c r="H37" s="104" t="n">
        <f aca="false">IF(AND(Assumptions!O$186&gt;=H$7,Assumptions!O$186&lt;=H$6,Assumptions!O$186&gt;$C$7),1,0)</f>
        <v>0</v>
      </c>
      <c r="I37" s="104" t="n">
        <f aca="false">IF(AND(Assumptions!O$186&gt;=I$7,Assumptions!O$186&lt;=I$6,Assumptions!O$186&gt;$C$7),1,0)</f>
        <v>0</v>
      </c>
      <c r="J37" s="104" t="n">
        <f aca="false">IF(AND(Assumptions!O$186&gt;=J$7,Assumptions!O$186&lt;=J$6,Assumptions!O$186&gt;$C$7),1,0)</f>
        <v>0</v>
      </c>
      <c r="K37" s="104" t="n">
        <f aca="false">IF(AND(Assumptions!O$186&gt;=K$7,Assumptions!O$186&lt;=K$6,Assumptions!O$186&gt;$C$7),1,0)</f>
        <v>0</v>
      </c>
      <c r="L37" s="104" t="n">
        <f aca="false">IF(AND(Assumptions!O$186&gt;=L$7,Assumptions!O$186&lt;=L$6,Assumptions!O$186&gt;$C$7),1,0)</f>
        <v>0</v>
      </c>
      <c r="M37" s="104" t="n">
        <f aca="false">IF(AND(Assumptions!O$186&gt;=M$7,Assumptions!O$186&lt;=M$6,Assumptions!O$186&gt;$C$7),1,0)</f>
        <v>0</v>
      </c>
      <c r="N37" s="104" t="n">
        <f aca="false">IF(AND(Assumptions!O$186&gt;=N$7,Assumptions!O$186&lt;=N$6,Assumptions!O$186&gt;$C$7),1,0)</f>
        <v>0</v>
      </c>
      <c r="O37" s="104" t="n">
        <f aca="false">IF(AND(Assumptions!O$186&gt;=O$7,Assumptions!O$186&lt;=O$6,Assumptions!O$186&gt;$C$7),1,0)</f>
        <v>0</v>
      </c>
      <c r="P37" s="104" t="n">
        <f aca="false">IF(AND(Assumptions!O$186&gt;=P$7,Assumptions!O$186&lt;=P$6,Assumptions!O$186&gt;$C$7),1,0)</f>
        <v>0</v>
      </c>
      <c r="Q37" s="104" t="n">
        <f aca="false">IF(AND(Assumptions!O$186&gt;=Q$7,Assumptions!O$186&lt;=Q$6,Assumptions!O$186&gt;$C$7),1,0)</f>
        <v>0</v>
      </c>
      <c r="R37" s="104" t="n">
        <f aca="false">IF(AND(Assumptions!O$186&gt;=R$7,Assumptions!O$186&lt;=R$6,Assumptions!O$186&gt;$C$7),1,0)</f>
        <v>0</v>
      </c>
      <c r="S37" s="104" t="n">
        <f aca="false">IF(AND(Assumptions!O$186&gt;=S$7,Assumptions!O$186&lt;=S$6,Assumptions!O$186&gt;$C$7),1,0)</f>
        <v>1</v>
      </c>
      <c r="T37" s="104" t="n">
        <f aca="false">IF(AND(Assumptions!O$186&gt;=T$7,Assumptions!O$186&lt;=T$6,Assumptions!O$186&gt;$C$7),1,0)</f>
        <v>0</v>
      </c>
      <c r="U37" s="104" t="n">
        <f aca="false">SUM(H37:T37)</f>
        <v>1</v>
      </c>
    </row>
    <row r="38" customFormat="false" ht="15" hidden="false" customHeight="false" outlineLevel="1" collapsed="false">
      <c r="A38" s="15" t="s">
        <v>633</v>
      </c>
      <c r="H38" s="104" t="n">
        <f aca="false">IF(AND(Assumptions!P$186&gt;=H$7,Assumptions!P$186&lt;=H$6,Assumptions!P$186&gt;$C$7),1,0)</f>
        <v>0</v>
      </c>
      <c r="I38" s="104" t="n">
        <f aca="false">IF(AND(Assumptions!P$186&gt;=I$7,Assumptions!P$186&lt;=I$6,Assumptions!P$186&gt;$C$7),1,0)</f>
        <v>0</v>
      </c>
      <c r="J38" s="104" t="n">
        <f aca="false">IF(AND(Assumptions!P$186&gt;=J$7,Assumptions!P$186&lt;=J$6,Assumptions!P$186&gt;$C$7),1,0)</f>
        <v>0</v>
      </c>
      <c r="K38" s="104" t="n">
        <f aca="false">IF(AND(Assumptions!P$186&gt;=K$7,Assumptions!P$186&lt;=K$6,Assumptions!P$186&gt;$C$7),1,0)</f>
        <v>0</v>
      </c>
      <c r="L38" s="104" t="n">
        <f aca="false">IF(AND(Assumptions!P$186&gt;=L$7,Assumptions!P$186&lt;=L$6,Assumptions!P$186&gt;$C$7),1,0)</f>
        <v>0</v>
      </c>
      <c r="M38" s="104" t="n">
        <f aca="false">IF(AND(Assumptions!P$186&gt;=M$7,Assumptions!P$186&lt;=M$6,Assumptions!P$186&gt;$C$7),1,0)</f>
        <v>0</v>
      </c>
      <c r="N38" s="104" t="n">
        <f aca="false">IF(AND(Assumptions!P$186&gt;=N$7,Assumptions!P$186&lt;=N$6,Assumptions!P$186&gt;$C$7),1,0)</f>
        <v>0</v>
      </c>
      <c r="O38" s="104" t="n">
        <f aca="false">IF(AND(Assumptions!P$186&gt;=O$7,Assumptions!P$186&lt;=O$6,Assumptions!P$186&gt;$C$7),1,0)</f>
        <v>0</v>
      </c>
      <c r="P38" s="104" t="n">
        <f aca="false">IF(AND(Assumptions!P$186&gt;=P$7,Assumptions!P$186&lt;=P$6,Assumptions!P$186&gt;$C$7),1,0)</f>
        <v>0</v>
      </c>
      <c r="Q38" s="104" t="n">
        <f aca="false">IF(AND(Assumptions!P$186&gt;=Q$7,Assumptions!P$186&lt;=Q$6,Assumptions!P$186&gt;$C$7),1,0)</f>
        <v>0</v>
      </c>
      <c r="R38" s="104" t="n">
        <f aca="false">IF(AND(Assumptions!P$186&gt;=R$7,Assumptions!P$186&lt;=R$6,Assumptions!P$186&gt;$C$7),1,0)</f>
        <v>0</v>
      </c>
      <c r="S38" s="104" t="n">
        <f aca="false">IF(AND(Assumptions!P$186&gt;=S$7,Assumptions!P$186&lt;=S$6,Assumptions!P$186&gt;$C$7),1,0)</f>
        <v>0</v>
      </c>
      <c r="T38" s="104" t="n">
        <f aca="false">IF(AND(Assumptions!P$186&gt;=T$7,Assumptions!P$186&lt;=T$6,Assumptions!P$186&gt;$C$7),1,0)</f>
        <v>0</v>
      </c>
      <c r="U38" s="104" t="n">
        <f aca="false">SUM(H38:T38)</f>
        <v>0</v>
      </c>
    </row>
    <row r="40" customFormat="false" ht="15" hidden="false" customHeight="false" outlineLevel="0" collapsed="false">
      <c r="A40" s="23" t="s">
        <v>634</v>
      </c>
      <c r="B40" s="24"/>
      <c r="C40" s="24"/>
      <c r="D40" s="24"/>
      <c r="E40" s="24"/>
      <c r="F40" s="24"/>
      <c r="G40" s="24"/>
      <c r="H40" s="24"/>
      <c r="I40" s="24"/>
      <c r="J40" s="24"/>
      <c r="K40" s="24"/>
      <c r="L40" s="24"/>
      <c r="M40" s="24"/>
      <c r="N40" s="24"/>
      <c r="O40" s="24"/>
      <c r="P40" s="24"/>
      <c r="Q40" s="24"/>
      <c r="R40" s="24"/>
      <c r="S40" s="24"/>
      <c r="T40" s="24"/>
      <c r="U40" s="24"/>
      <c r="V40" s="24"/>
      <c r="W40" s="24"/>
    </row>
    <row r="41" customFormat="false" ht="15" hidden="false" customHeight="false" outlineLevel="0" collapsed="false">
      <c r="A41" s="29" t="s">
        <v>635</v>
      </c>
      <c r="B41" s="60" t="s">
        <v>636</v>
      </c>
      <c r="C41" s="105" t="n">
        <v>249928</v>
      </c>
      <c r="D41" s="62" t="n">
        <f aca="false">Clients!M214</f>
        <v>681621.4689</v>
      </c>
      <c r="E41" s="62" t="n">
        <f aca="false">Clients!N214</f>
        <v>676773.768889</v>
      </c>
      <c r="F41" s="62" t="n">
        <f aca="false">Clients!O214</f>
        <v>792984.905711647</v>
      </c>
      <c r="G41" s="62" t="n">
        <f aca="false">Clients!P214</f>
        <v>819249.830534956</v>
      </c>
      <c r="H41" s="71" t="n">
        <f aca="false">(D41-$C41)*H$11+E41*H$12+F41*H$13+G41*H$14</f>
        <v>159044.962226316</v>
      </c>
      <c r="I41" s="71" t="n">
        <f aca="false">(D41-$C41)*I$11+E41*I$12+F41*I$13+G41*I$14</f>
        <v>159044.962226316</v>
      </c>
      <c r="J41" s="71" t="n">
        <f aca="false">(D41-$C41)*J$11+E41*J$12+F41*J$13+G41*J$14</f>
        <v>157266.368246659</v>
      </c>
      <c r="K41" s="71" t="n">
        <f aca="false">(D41-$C41)*K$11+E41*K$12+F41*K$13+G41*K$14</f>
        <v>152819.883297516</v>
      </c>
      <c r="L41" s="71" t="n">
        <f aca="false">(D41-$C41)*L$11+E41*L$12+F41*L$13+G41*L$14</f>
        <v>152819.883297516</v>
      </c>
      <c r="M41" s="71" t="n">
        <f aca="false">(D41-$C41)*M$11+E41*M$12+F41*M$13+G41*M$14</f>
        <v>152819.883297516</v>
      </c>
      <c r="N41" s="71" t="n">
        <f aca="false">(D41-$C41)*N$11+E41*N$12+F41*N$13+G41*N$14</f>
        <v>152819.883297516</v>
      </c>
      <c r="O41" s="71" t="n">
        <f aca="false">(D41-$C41)*O$11+E41*O$12+F41*O$13+G41*O$14</f>
        <v>180428.393041975</v>
      </c>
      <c r="P41" s="71" t="n">
        <f aca="false">(D41-$C41)*P$11+E41*P$12+F41*P$13+G41*P$14</f>
        <v>185029.811332718</v>
      </c>
      <c r="Q41" s="71" t="n">
        <f aca="false">(D41-$C41)*Q$11+E41*Q$12+F41*Q$13+G41*Q$14</f>
        <v>185029.811332718</v>
      </c>
      <c r="R41" s="71" t="n">
        <f aca="false">(D41-$C41)*R$11+E41*R$12+F41*R$13+G41*R$14</f>
        <v>185029.811332718</v>
      </c>
      <c r="S41" s="71" t="n">
        <f aca="false">(D41-$C41)*S$11+E41*S$12+F41*S$13+G41*S$14</f>
        <v>185008.146124062</v>
      </c>
      <c r="T41" s="71" t="n">
        <f aca="false">(D41-$C41)*T$11+E41*T$12+F41*T$13+G41*T$14</f>
        <v>184991.897217571</v>
      </c>
      <c r="U41" s="61" t="n">
        <f aca="false">SUM(H41:T41)</f>
        <v>2192153.69627112</v>
      </c>
      <c r="V41" s="106" t="n">
        <f aca="false">SUM(H$14:T$14)</f>
        <v>0.354838709677419</v>
      </c>
      <c r="W41" s="30" t="n">
        <f aca="false">G41*(1-V41)</f>
        <v>528548.277764488</v>
      </c>
    </row>
    <row r="42" customFormat="false" ht="15" hidden="false" customHeight="false" outlineLevel="0" collapsed="false">
      <c r="A42" s="73" t="s">
        <v>637</v>
      </c>
      <c r="B42" s="107" t="s">
        <v>638</v>
      </c>
      <c r="C42" s="108" t="n">
        <f aca="false">C41</f>
        <v>249928</v>
      </c>
      <c r="D42" s="109" t="n">
        <f aca="false">D41</f>
        <v>681621.4689</v>
      </c>
      <c r="E42" s="109" t="n">
        <f aca="false">E41</f>
        <v>676773.768889</v>
      </c>
      <c r="F42" s="109" t="n">
        <f aca="false">F41</f>
        <v>792984.905711647</v>
      </c>
      <c r="G42" s="109" t="n">
        <f aca="false">G41</f>
        <v>819249.830534956</v>
      </c>
      <c r="H42" s="70" t="n">
        <f aca="false">H41</f>
        <v>159044.962226316</v>
      </c>
      <c r="I42" s="70" t="n">
        <f aca="false">I41</f>
        <v>159044.962226316</v>
      </c>
      <c r="J42" s="70" t="n">
        <f aca="false">J41</f>
        <v>157266.368246659</v>
      </c>
      <c r="K42" s="70" t="n">
        <f aca="false">K41</f>
        <v>152819.883297516</v>
      </c>
      <c r="L42" s="70" t="n">
        <f aca="false">L41</f>
        <v>152819.883297516</v>
      </c>
      <c r="M42" s="70" t="n">
        <f aca="false">M41</f>
        <v>152819.883297516</v>
      </c>
      <c r="N42" s="70" t="n">
        <f aca="false">N41</f>
        <v>152819.883297516</v>
      </c>
      <c r="O42" s="70" t="n">
        <f aca="false">O41</f>
        <v>180428.393041975</v>
      </c>
      <c r="P42" s="70" t="n">
        <f aca="false">P41</f>
        <v>185029.811332718</v>
      </c>
      <c r="Q42" s="70" t="n">
        <f aca="false">Q41</f>
        <v>185029.811332718</v>
      </c>
      <c r="R42" s="70" t="n">
        <f aca="false">R41</f>
        <v>185029.811332718</v>
      </c>
      <c r="S42" s="70" t="n">
        <f aca="false">S41</f>
        <v>185008.146124062</v>
      </c>
      <c r="T42" s="70" t="n">
        <f aca="false">T41</f>
        <v>184991.897217571</v>
      </c>
      <c r="U42" s="70" t="n">
        <f aca="false">SUM(H42:T42)</f>
        <v>2192153.69627112</v>
      </c>
      <c r="V42" s="76"/>
      <c r="W42" s="76"/>
    </row>
    <row r="43" customFormat="false" ht="15" hidden="false" customHeight="false" outlineLevel="0" collapsed="false">
      <c r="A43" s="23" t="s">
        <v>639</v>
      </c>
      <c r="B43" s="24"/>
      <c r="C43" s="24"/>
      <c r="D43" s="24"/>
      <c r="E43" s="24"/>
      <c r="F43" s="24"/>
      <c r="G43" s="24"/>
      <c r="H43" s="24"/>
      <c r="I43" s="24"/>
      <c r="J43" s="24"/>
      <c r="K43" s="24"/>
      <c r="L43" s="24"/>
      <c r="M43" s="24"/>
      <c r="N43" s="24"/>
      <c r="O43" s="24"/>
      <c r="P43" s="24"/>
      <c r="Q43" s="24"/>
      <c r="R43" s="24"/>
      <c r="S43" s="24"/>
      <c r="T43" s="24"/>
      <c r="U43" s="24"/>
      <c r="V43" s="24"/>
      <c r="W43" s="24"/>
    </row>
    <row r="44" customFormat="false" ht="15" hidden="false" customHeight="false" outlineLevel="0" collapsed="false">
      <c r="A44" s="29" t="s">
        <v>467</v>
      </c>
      <c r="B44" s="60" t="s">
        <v>640</v>
      </c>
      <c r="C44" s="30" t="n">
        <v>0</v>
      </c>
      <c r="D44" s="62" t="n">
        <f aca="false">-People!M160</f>
        <v>-188292.020677778</v>
      </c>
      <c r="E44" s="62" t="n">
        <f aca="false">-People!N160</f>
        <v>-190866.696076071</v>
      </c>
      <c r="F44" s="62" t="n">
        <f aca="false">-People!O160</f>
        <v>-189580.070906532</v>
      </c>
      <c r="G44" s="62" t="n">
        <f aca="false">-People!P160</f>
        <v>-189497.979409779</v>
      </c>
      <c r="H44" s="71" t="n">
        <f aca="false">(D44-$C44)*H$27+E44*H$28+F44*H$29+G44*H$30</f>
        <v>-0</v>
      </c>
      <c r="I44" s="71" t="n">
        <f aca="false">(D44-$C44)*I$27+E44*I$28+F44*I$29+G44*I$30</f>
        <v>-0</v>
      </c>
      <c r="J44" s="71" t="n">
        <f aca="false">(D44-$C44)*J$27+E44*J$28+F44*J$29+G44*J$30</f>
        <v>-188292.020677778</v>
      </c>
      <c r="K44" s="71" t="n">
        <f aca="false">(D44-$C44)*K$27+E44*K$28+F44*K$29+G44*K$30</f>
        <v>-0</v>
      </c>
      <c r="L44" s="71" t="n">
        <f aca="false">(D44-$C44)*L$27+E44*L$28+F44*L$29+G44*L$30</f>
        <v>-0</v>
      </c>
      <c r="M44" s="71" t="n">
        <f aca="false">(D44-$C44)*M$27+E44*M$28+F44*M$29+G44*M$30</f>
        <v>-0</v>
      </c>
      <c r="N44" s="71" t="n">
        <f aca="false">(D44-$C44)*N$27+E44*N$28+F44*N$29+G44*N$30</f>
        <v>-190866.696076071</v>
      </c>
      <c r="O44" s="71" t="n">
        <f aca="false">(D44-$C44)*O$27+E44*O$28+F44*O$29+G44*O$30</f>
        <v>-0</v>
      </c>
      <c r="P44" s="71" t="n">
        <f aca="false">(D44-$C44)*P$27+E44*P$28+F44*P$29+G44*P$30</f>
        <v>-0</v>
      </c>
      <c r="Q44" s="71" t="n">
        <f aca="false">(D44-$C44)*Q$27+E44*Q$28+F44*Q$29+G44*Q$30</f>
        <v>-0</v>
      </c>
      <c r="R44" s="71" t="n">
        <f aca="false">(D44-$C44)*R$27+E44*R$28+F44*R$29+G44*R$30</f>
        <v>-0</v>
      </c>
      <c r="S44" s="71" t="n">
        <f aca="false">(D44-$C44)*S$27+E44*S$28+F44*S$29+G44*S$30</f>
        <v>-189580.070906532</v>
      </c>
      <c r="T44" s="71" t="n">
        <f aca="false">(D44-$C44)*T$27+E44*T$28+F44*T$29+G44*T$30</f>
        <v>-0</v>
      </c>
      <c r="U44" s="61" t="n">
        <f aca="false">SUM(H44:T44)</f>
        <v>-568738.787660381</v>
      </c>
      <c r="V44" s="106" t="n">
        <f aca="false">SUM(H$30:T$30)</f>
        <v>0</v>
      </c>
      <c r="W44" s="30" t="n">
        <f aca="false">G44*(1-V44)</f>
        <v>-189497.979409779</v>
      </c>
    </row>
    <row r="45" customFormat="false" ht="15" hidden="false" customHeight="false" outlineLevel="0" collapsed="false">
      <c r="A45" s="29" t="s">
        <v>641</v>
      </c>
      <c r="B45" s="60" t="s">
        <v>640</v>
      </c>
      <c r="C45" s="30" t="n">
        <v>0</v>
      </c>
      <c r="D45" s="62" t="n">
        <f aca="false">-People!M155</f>
        <v>-0</v>
      </c>
      <c r="E45" s="62" t="n">
        <f aca="false">-People!N155</f>
        <v>-0</v>
      </c>
      <c r="F45" s="62" t="n">
        <f aca="false">-People!O155</f>
        <v>-0</v>
      </c>
      <c r="G45" s="62" t="n">
        <f aca="false">-People!P155</f>
        <v>-0</v>
      </c>
      <c r="H45" s="71" t="n">
        <f aca="false">(D45-$C45)*H$27+E45*H$28+F45*H$29+G45*H$30</f>
        <v>-0</v>
      </c>
      <c r="I45" s="71" t="n">
        <f aca="false">(D45-$C45)*I$27+E45*I$28+F45*I$29+G45*I$30</f>
        <v>-0</v>
      </c>
      <c r="J45" s="71" t="n">
        <f aca="false">(D45-$C45)*J$27+E45*J$28+F45*J$29+G45*J$30</f>
        <v>-0</v>
      </c>
      <c r="K45" s="71" t="n">
        <f aca="false">(D45-$C45)*K$27+E45*K$28+F45*K$29+G45*K$30</f>
        <v>-0</v>
      </c>
      <c r="L45" s="71" t="n">
        <f aca="false">(D45-$C45)*L$27+E45*L$28+F45*L$29+G45*L$30</f>
        <v>-0</v>
      </c>
      <c r="M45" s="71" t="n">
        <f aca="false">(D45-$C45)*M$27+E45*M$28+F45*M$29+G45*M$30</f>
        <v>-0</v>
      </c>
      <c r="N45" s="71" t="n">
        <f aca="false">(D45-$C45)*N$27+E45*N$28+F45*N$29+G45*N$30</f>
        <v>-0</v>
      </c>
      <c r="O45" s="71" t="n">
        <f aca="false">(D45-$C45)*O$27+E45*O$28+F45*O$29+G45*O$30</f>
        <v>-0</v>
      </c>
      <c r="P45" s="71" t="n">
        <f aca="false">(D45-$C45)*P$27+E45*P$28+F45*P$29+G45*P$30</f>
        <v>-0</v>
      </c>
      <c r="Q45" s="71" t="n">
        <f aca="false">(D45-$C45)*Q$27+E45*Q$28+F45*Q$29+G45*Q$30</f>
        <v>-0</v>
      </c>
      <c r="R45" s="71" t="n">
        <f aca="false">(D45-$C45)*R$27+E45*R$28+F45*R$29+G45*R$30</f>
        <v>-0</v>
      </c>
      <c r="S45" s="71" t="n">
        <f aca="false">(D45-$C45)*S$27+E45*S$28+F45*S$29+G45*S$30</f>
        <v>-0</v>
      </c>
      <c r="T45" s="71" t="n">
        <f aca="false">(D45-$C45)*T$27+E45*T$28+F45*T$29+G45*T$30</f>
        <v>-0</v>
      </c>
      <c r="U45" s="61" t="n">
        <f aca="false">SUM(H45:T45)</f>
        <v>0</v>
      </c>
      <c r="V45" s="106" t="n">
        <f aca="false">SUM(H$30:T$30)</f>
        <v>0</v>
      </c>
      <c r="W45" s="30" t="n">
        <f aca="false">G45*(1-V45)</f>
        <v>-0</v>
      </c>
    </row>
    <row r="46" customFormat="false" ht="15" hidden="false" customHeight="false" outlineLevel="0" collapsed="false">
      <c r="A46" s="29" t="s">
        <v>642</v>
      </c>
      <c r="B46" s="60" t="s">
        <v>643</v>
      </c>
      <c r="C46" s="30" t="n">
        <v>0</v>
      </c>
      <c r="D46" s="62" t="n">
        <f aca="false">-People!M161</f>
        <v>-106069.382029167</v>
      </c>
      <c r="E46" s="62" t="n">
        <f aca="false">-People!N161</f>
        <v>-107960.653960851</v>
      </c>
      <c r="F46" s="62" t="n">
        <f aca="false">-People!O161</f>
        <v>-107081.077307219</v>
      </c>
      <c r="G46" s="62" t="n">
        <f aca="false">-People!P161</f>
        <v>-107019.209797312</v>
      </c>
      <c r="H46" s="71" t="n">
        <f aca="false">(D46-$C46)*H$23+E46*H$24+F46*H$25+G46*H$26</f>
        <v>-0</v>
      </c>
      <c r="I46" s="71" t="n">
        <f aca="false">(D46-$C46)*I$23+E46*I$24+F46*I$25+G46*I$26</f>
        <v>-0</v>
      </c>
      <c r="J46" s="71" t="n">
        <f aca="false">(D46-$C46)*J$23+E46*J$24+F46*J$25+G46*J$26</f>
        <v>-106069.382029167</v>
      </c>
      <c r="K46" s="71" t="n">
        <f aca="false">(D46-$C46)*K$23+E46*K$24+F46*K$25+G46*K$26</f>
        <v>-0</v>
      </c>
      <c r="L46" s="71" t="n">
        <f aca="false">(D46-$C46)*L$23+E46*L$24+F46*L$25+G46*L$26</f>
        <v>-0</v>
      </c>
      <c r="M46" s="71" t="n">
        <f aca="false">(D46-$C46)*M$23+E46*M$24+F46*M$25+G46*M$26</f>
        <v>-0</v>
      </c>
      <c r="N46" s="71" t="n">
        <f aca="false">(D46-$C46)*N$23+E46*N$24+F46*N$25+G46*N$26</f>
        <v>-107960.653960851</v>
      </c>
      <c r="O46" s="71" t="n">
        <f aca="false">(D46-$C46)*O$23+E46*O$24+F46*O$25+G46*O$26</f>
        <v>-0</v>
      </c>
      <c r="P46" s="71" t="n">
        <f aca="false">(D46-$C46)*P$23+E46*P$24+F46*P$25+G46*P$26</f>
        <v>-0</v>
      </c>
      <c r="Q46" s="71" t="n">
        <f aca="false">(D46-$C46)*Q$23+E46*Q$24+F46*Q$25+G46*Q$26</f>
        <v>-0</v>
      </c>
      <c r="R46" s="71" t="n">
        <f aca="false">(D46-$C46)*R$23+E46*R$24+F46*R$25+G46*R$26</f>
        <v>-107081.077307219</v>
      </c>
      <c r="S46" s="71" t="n">
        <f aca="false">(D46-$C46)*S$23+E46*S$24+F46*S$25+G46*S$26</f>
        <v>-0</v>
      </c>
      <c r="T46" s="71" t="n">
        <f aca="false">(D46-$C46)*T$23+E46*T$24+F46*T$25+G46*T$26</f>
        <v>-0</v>
      </c>
      <c r="U46" s="61" t="n">
        <f aca="false">SUM(H46:T46)</f>
        <v>-321111.113297236</v>
      </c>
      <c r="V46" s="106" t="n">
        <f aca="false">SUM(H$26:T$26)</f>
        <v>0</v>
      </c>
      <c r="W46" s="30" t="n">
        <f aca="false">G46*(1-V46)</f>
        <v>-107019.209797312</v>
      </c>
    </row>
    <row r="47" customFormat="false" ht="15" hidden="false" customHeight="false" outlineLevel="0" collapsed="false">
      <c r="A47" s="29" t="s">
        <v>644</v>
      </c>
      <c r="B47" s="60" t="s">
        <v>645</v>
      </c>
      <c r="C47" s="30" t="n">
        <f aca="false">D47</f>
        <v>-92642.9398666667</v>
      </c>
      <c r="D47" s="62" t="n">
        <f aca="false">People!M164</f>
        <v>-92642.9398666667</v>
      </c>
      <c r="E47" s="62" t="n">
        <f aca="false">People!N164</f>
        <v>-94291.4577777778</v>
      </c>
      <c r="F47" s="62" t="n">
        <f aca="false">People!O164</f>
        <v>-95457.5658796296</v>
      </c>
      <c r="G47" s="62" t="n">
        <f aca="false">People!P164</f>
        <v>-94878.8449729938</v>
      </c>
      <c r="H47" s="71" t="n">
        <f aca="false">(D47-$C47)*H$15+E47*H$16+F47*H$17+G47*H$18</f>
        <v>0</v>
      </c>
      <c r="I47" s="71" t="n">
        <f aca="false">(D47-$C47)*I$15+E47*I$16+F47*I$17+G47*I$18</f>
        <v>0</v>
      </c>
      <c r="J47" s="71" t="n">
        <f aca="false">(D47-$C47)*J$15+E47*J$16+F47*J$17+G47*J$18</f>
        <v>0</v>
      </c>
      <c r="K47" s="71" t="n">
        <f aca="false">(D47-$C47)*K$15+E47*K$16+F47*K$17+G47*K$18</f>
        <v>0</v>
      </c>
      <c r="L47" s="71" t="n">
        <f aca="false">(D47-$C47)*L$15+E47*L$16+F47*L$17+G47*L$18</f>
        <v>-94291.4577777778</v>
      </c>
      <c r="M47" s="71" t="n">
        <f aca="false">(D47-$C47)*M$15+E47*M$16+F47*M$17+G47*M$18</f>
        <v>0</v>
      </c>
      <c r="N47" s="71" t="n">
        <f aca="false">(D47-$C47)*N$15+E47*N$16+F47*N$17+G47*N$18</f>
        <v>0</v>
      </c>
      <c r="O47" s="71" t="n">
        <f aca="false">(D47-$C47)*O$15+E47*O$16+F47*O$17+G47*O$18</f>
        <v>0</v>
      </c>
      <c r="P47" s="71" t="n">
        <f aca="false">(D47-$C47)*P$15+E47*P$16+F47*P$17+G47*P$18</f>
        <v>-95457.5658796296</v>
      </c>
      <c r="Q47" s="71" t="n">
        <f aca="false">(D47-$C47)*Q$15+E47*Q$16+F47*Q$17+G47*Q$18</f>
        <v>0</v>
      </c>
      <c r="R47" s="71" t="n">
        <f aca="false">(D47-$C47)*R$15+E47*R$16+F47*R$17+G47*R$18</f>
        <v>0</v>
      </c>
      <c r="S47" s="71" t="n">
        <f aca="false">(D47-$C47)*S$15+E47*S$16+F47*S$17+G47*S$18</f>
        <v>0</v>
      </c>
      <c r="T47" s="71" t="n">
        <f aca="false">(D47-$C47)*T$15+E47*T$16+F47*T$17+G47*T$18</f>
        <v>-94878.8449729938</v>
      </c>
      <c r="U47" s="61" t="n">
        <f aca="false">SUM(H47:T47)</f>
        <v>-284627.868630401</v>
      </c>
      <c r="V47" s="106" t="n">
        <f aca="false">SUM(H$18:T$18)</f>
        <v>1</v>
      </c>
      <c r="W47" s="30" t="n">
        <f aca="false">G47*(1-V47)</f>
        <v>-0</v>
      </c>
    </row>
    <row r="48" customFormat="false" ht="15" hidden="false" customHeight="false" outlineLevel="0" collapsed="false">
      <c r="A48" s="29" t="s">
        <v>646</v>
      </c>
      <c r="B48" s="60" t="s">
        <v>647</v>
      </c>
      <c r="C48" s="30" t="n">
        <v>0</v>
      </c>
      <c r="D48" s="62" t="n">
        <f aca="false">-People!M36</f>
        <v>-0</v>
      </c>
      <c r="E48" s="62" t="n">
        <f aca="false">-People!N36</f>
        <v>-0</v>
      </c>
      <c r="F48" s="62" t="n">
        <f aca="false">-People!O36</f>
        <v>-0</v>
      </c>
      <c r="G48" s="62" t="n">
        <f aca="false">-People!P36</f>
        <v>-0</v>
      </c>
      <c r="H48" s="71" t="n">
        <f aca="false">(D48-$C48)*H$35+E48*H$36+F48*H$37+G48*H$38</f>
        <v>-0</v>
      </c>
      <c r="I48" s="71" t="n">
        <f aca="false">(D48-$C48)*I$35+E48*I$36+F48*I$37+G48*I$38</f>
        <v>-0</v>
      </c>
      <c r="J48" s="71" t="n">
        <f aca="false">(D48-$C48)*J$35+E48*J$36+F48*J$37+G48*J$38</f>
        <v>-0</v>
      </c>
      <c r="K48" s="71" t="n">
        <f aca="false">(D48-$C48)*K$35+E48*K$36+F48*K$37+G48*K$38</f>
        <v>-0</v>
      </c>
      <c r="L48" s="71" t="n">
        <f aca="false">(D48-$C48)*L$35+E48*L$36+F48*L$37+G48*L$38</f>
        <v>-0</v>
      </c>
      <c r="M48" s="71" t="n">
        <f aca="false">(D48-$C48)*M$35+E48*M$36+F48*M$37+G48*M$38</f>
        <v>-0</v>
      </c>
      <c r="N48" s="71" t="n">
        <f aca="false">(D48-$C48)*N$35+E48*N$36+F48*N$37+G48*N$38</f>
        <v>-0</v>
      </c>
      <c r="O48" s="71" t="n">
        <f aca="false">(D48-$C48)*O$35+E48*O$36+F48*O$37+G48*O$38</f>
        <v>-0</v>
      </c>
      <c r="P48" s="71" t="n">
        <f aca="false">(D48-$C48)*P$35+E48*P$36+F48*P$37+G48*P$38</f>
        <v>-0</v>
      </c>
      <c r="Q48" s="71" t="n">
        <f aca="false">(D48-$C48)*Q$35+E48*Q$36+F48*Q$37+G48*Q$38</f>
        <v>-0</v>
      </c>
      <c r="R48" s="71" t="n">
        <f aca="false">(D48-$C48)*R$35+E48*R$36+F48*R$37+G48*R$38</f>
        <v>-0</v>
      </c>
      <c r="S48" s="71" t="n">
        <f aca="false">(D48-$C48)*S$35+E48*S$36+F48*S$37+G48*S$38</f>
        <v>-0</v>
      </c>
      <c r="T48" s="71" t="n">
        <f aca="false">(D48-$C48)*T$35+E48*T$36+F48*T$37+G48*T$38</f>
        <v>-0</v>
      </c>
      <c r="U48" s="61" t="n">
        <f aca="false">SUM(H48:T48)</f>
        <v>0</v>
      </c>
      <c r="V48" s="106" t="n">
        <f aca="false">SUM(H$38:T$38)</f>
        <v>0</v>
      </c>
      <c r="W48" s="30" t="n">
        <f aca="false">G48*(1-V48)</f>
        <v>-0</v>
      </c>
    </row>
    <row r="49" customFormat="false" ht="15" hidden="false" customHeight="false" outlineLevel="0" collapsed="false">
      <c r="A49" s="29" t="s">
        <v>648</v>
      </c>
      <c r="B49" s="60" t="s">
        <v>636</v>
      </c>
      <c r="C49" s="105" t="n">
        <v>-5533</v>
      </c>
      <c r="D49" s="62" t="n">
        <f aca="false">-Payables!M11</f>
        <v>-15088.84159</v>
      </c>
      <c r="E49" s="62" t="n">
        <f aca="false">-Payables!N11</f>
        <v>-44973.1880456479</v>
      </c>
      <c r="F49" s="62" t="n">
        <f aca="false">-Payables!O11</f>
        <v>-20188.754385353</v>
      </c>
      <c r="G49" s="62" t="n">
        <f aca="false">-Payables!P11</f>
        <v>-5690.35657053398</v>
      </c>
      <c r="H49" s="71" t="n">
        <f aca="false">(D49-$C49)*H$11+E49*H$12+F49*H$13+G49*H$14</f>
        <v>-3520.57321736842</v>
      </c>
      <c r="I49" s="71" t="n">
        <f aca="false">(D49-$C49)*I$11+E49*I$12+F49*I$13+G49*I$14</f>
        <v>-3520.57321736842</v>
      </c>
      <c r="J49" s="71" t="n">
        <f aca="false">(D49-$C49)*J$11+E49*J$12+F49*J$13+G49*J$14</f>
        <v>-5416.19115820819</v>
      </c>
      <c r="K49" s="71" t="n">
        <f aca="false">(D49-$C49)*K$11+E49*K$12+F49*K$13+G49*K$14</f>
        <v>-10155.2360103076</v>
      </c>
      <c r="L49" s="71" t="n">
        <f aca="false">(D49-$C49)*L$11+E49*L$12+F49*L$13+G49*L$14</f>
        <v>-10155.2360103076</v>
      </c>
      <c r="M49" s="71" t="n">
        <f aca="false">(D49-$C49)*M$11+E49*M$12+F49*M$13+G49*M$14</f>
        <v>-10155.2360103076</v>
      </c>
      <c r="N49" s="71" t="n">
        <f aca="false">(D49-$C49)*N$11+E49*N$12+F49*N$13+G49*N$14</f>
        <v>-10155.2360103076</v>
      </c>
      <c r="O49" s="71" t="n">
        <f aca="false">(D49-$C49)*O$11+E49*O$12+F49*O$13+G49*O$14</f>
        <v>-5488.49887854311</v>
      </c>
      <c r="P49" s="71" t="n">
        <f aca="false">(D49-$C49)*P$11+E49*P$12+F49*P$13+G49*P$14</f>
        <v>-4710.70935658236</v>
      </c>
      <c r="Q49" s="71" t="n">
        <f aca="false">(D49-$C49)*Q$11+E49*Q$12+F49*Q$13+G49*Q$14</f>
        <v>-4710.70935658236</v>
      </c>
      <c r="R49" s="71" t="n">
        <f aca="false">(D49-$C49)*R$11+E49*R$12+F49*R$13+G49*R$14</f>
        <v>-4710.70935658236</v>
      </c>
      <c r="S49" s="71" t="n">
        <f aca="false">(D49-$C49)*S$11+E49*S$12+F49*S$13+G49*S$14</f>
        <v>-2753.11499602355</v>
      </c>
      <c r="T49" s="71" t="n">
        <f aca="false">(D49-$C49)*T$11+E49*T$12+F49*T$13+G49*T$14</f>
        <v>-1284.91922560445</v>
      </c>
      <c r="U49" s="61" t="n">
        <f aca="false">SUM(H49:T49)</f>
        <v>-76736.9428040936</v>
      </c>
      <c r="V49" s="106" t="n">
        <f aca="false">SUM(H$14:T$14)</f>
        <v>0.354838709677419</v>
      </c>
      <c r="W49" s="30" t="n">
        <f aca="false">G49*(1-V49)</f>
        <v>-3671.19778744128</v>
      </c>
    </row>
    <row r="50" customFormat="false" ht="15" hidden="false" customHeight="false" outlineLevel="0" collapsed="false">
      <c r="A50" s="29" t="s">
        <v>472</v>
      </c>
      <c r="B50" s="60" t="s">
        <v>636</v>
      </c>
      <c r="C50" s="105" t="n">
        <v>-18347</v>
      </c>
      <c r="D50" s="62" t="n">
        <f aca="false">-Payables!M16</f>
        <v>-50036.2022762622</v>
      </c>
      <c r="E50" s="62" t="n">
        <f aca="false">-Payables!N16</f>
        <v>-54683.1423393816</v>
      </c>
      <c r="F50" s="62" t="n">
        <f aca="false">-Payables!O16</f>
        <v>-48731.2557162518</v>
      </c>
      <c r="G50" s="62" t="n">
        <f aca="false">-Payables!P16</f>
        <v>-48890.0538929782</v>
      </c>
      <c r="H50" s="71" t="n">
        <f aca="false">(D50-$C50)*H$11+E50*H$12+F50*H$13+G50*H$14</f>
        <v>-11674.9692596756</v>
      </c>
      <c r="I50" s="71" t="n">
        <f aca="false">(D50-$C50)*I$11+E50*I$12+F50*I$13+G50*I$14</f>
        <v>-11674.9692596756</v>
      </c>
      <c r="J50" s="71" t="n">
        <f aca="false">(D50-$C50)*J$11+E50*J$12+F50*J$13+G50*J$14</f>
        <v>-11867.208423968</v>
      </c>
      <c r="K50" s="71" t="n">
        <f aca="false">(D50-$C50)*K$11+E50*K$12+F50*K$13+G50*K$14</f>
        <v>-12347.8063346991</v>
      </c>
      <c r="L50" s="71" t="n">
        <f aca="false">(D50-$C50)*L$11+E50*L$12+F50*L$13+G50*L$14</f>
        <v>-12347.8063346991</v>
      </c>
      <c r="M50" s="71" t="n">
        <f aca="false">(D50-$C50)*M$11+E50*M$12+F50*M$13+G50*M$14</f>
        <v>-12347.8063346991</v>
      </c>
      <c r="N50" s="71" t="n">
        <f aca="false">(D50-$C50)*N$11+E50*N$12+F50*N$13+G50*N$14</f>
        <v>-12347.8063346991</v>
      </c>
      <c r="O50" s="71" t="n">
        <f aca="false">(D50-$C50)*O$11+E50*O$12+F50*O$13+G50*O$14</f>
        <v>-11510.2234767788</v>
      </c>
      <c r="P50" s="71" t="n">
        <f aca="false">(D50-$C50)*P$11+E50*P$12+F50*P$13+G50*P$14</f>
        <v>-11370.6263337921</v>
      </c>
      <c r="Q50" s="71" t="n">
        <f aca="false">(D50-$C50)*Q$11+E50*Q$12+F50*Q$13+G50*Q$14</f>
        <v>-11370.6263337921</v>
      </c>
      <c r="R50" s="71" t="n">
        <f aca="false">(D50-$C50)*R$11+E50*R$12+F50*R$13+G50*R$14</f>
        <v>-11370.6263337921</v>
      </c>
      <c r="S50" s="71" t="n">
        <f aca="false">(D50-$C50)*S$11+E50*S$12+F50*S$13+G50*S$14</f>
        <v>-11181.519622332</v>
      </c>
      <c r="T50" s="71" t="n">
        <f aca="false">(D50-$C50)*T$11+E50*T$12+F50*T$13+G50*T$14</f>
        <v>-11039.689588737</v>
      </c>
      <c r="U50" s="61" t="n">
        <f aca="false">SUM(H50:T50)</f>
        <v>-152451.68397134</v>
      </c>
      <c r="V50" s="106" t="n">
        <f aca="false">SUM(H$14:T$14)</f>
        <v>0.354838709677419</v>
      </c>
      <c r="W50" s="30" t="n">
        <f aca="false">G50*(1-V50)</f>
        <v>-31541.9702535343</v>
      </c>
    </row>
    <row r="51" customFormat="false" ht="15" hidden="false" customHeight="false" outlineLevel="0" collapsed="false">
      <c r="A51" s="29" t="s">
        <v>649</v>
      </c>
      <c r="B51" s="60" t="s">
        <v>650</v>
      </c>
      <c r="C51" s="30" t="n">
        <f aca="false">D51</f>
        <v>-28560</v>
      </c>
      <c r="D51" s="62" t="n">
        <f aca="false">-Overheads!M35</f>
        <v>-28560</v>
      </c>
      <c r="E51" s="62" t="n">
        <f aca="false">-Overheads!N35</f>
        <v>-28560</v>
      </c>
      <c r="F51" s="62" t="n">
        <f aca="false">-Overheads!O35</f>
        <v>-28560</v>
      </c>
      <c r="G51" s="62" t="n">
        <f aca="false">-Overheads!P35</f>
        <v>-28560</v>
      </c>
      <c r="H51" s="71" t="n">
        <f aca="false">(D51-$C51)*H$31+E51*H$32+F51*H$33+G51*H$34</f>
        <v>0</v>
      </c>
      <c r="I51" s="71" t="n">
        <f aca="false">(D51-$C51)*I$31+E51*I$32+F51*I$33+G51*I$34</f>
        <v>0</v>
      </c>
      <c r="J51" s="71" t="n">
        <f aca="false">(D51-$C51)*J$31+E51*J$32+F51*J$33+G51*J$34</f>
        <v>-28560</v>
      </c>
      <c r="K51" s="71" t="n">
        <f aca="false">(D51-$C51)*K$31+E51*K$32+F51*K$33+G51*K$34</f>
        <v>0</v>
      </c>
      <c r="L51" s="71" t="n">
        <f aca="false">(D51-$C51)*L$31+E51*L$32+F51*L$33+G51*L$34</f>
        <v>0</v>
      </c>
      <c r="M51" s="71" t="n">
        <f aca="false">(D51-$C51)*M$31+E51*M$32+F51*M$33+G51*M$34</f>
        <v>0</v>
      </c>
      <c r="N51" s="71" t="n">
        <f aca="false">(D51-$C51)*N$31+E51*N$32+F51*N$33+G51*N$34</f>
        <v>0</v>
      </c>
      <c r="O51" s="71" t="n">
        <f aca="false">(D51-$C51)*O$31+E51*O$32+F51*O$33+G51*O$34</f>
        <v>-28560</v>
      </c>
      <c r="P51" s="71" t="n">
        <f aca="false">(D51-$C51)*P$31+E51*P$32+F51*P$33+G51*P$34</f>
        <v>0</v>
      </c>
      <c r="Q51" s="71" t="n">
        <f aca="false">(D51-$C51)*Q$31+E51*Q$32+F51*Q$33+G51*Q$34</f>
        <v>0</v>
      </c>
      <c r="R51" s="71" t="n">
        <f aca="false">(D51-$C51)*R$31+E51*R$32+F51*R$33+G51*R$34</f>
        <v>0</v>
      </c>
      <c r="S51" s="71" t="n">
        <f aca="false">(D51-$C51)*S$31+E51*S$32+F51*S$33+G51*S$34</f>
        <v>-28560</v>
      </c>
      <c r="T51" s="71" t="n">
        <f aca="false">(D51-$C51)*T$31+E51*T$32+F51*T$33+G51*T$34</f>
        <v>0</v>
      </c>
      <c r="U51" s="61" t="n">
        <f aca="false">SUM(H51:T51)</f>
        <v>-85680</v>
      </c>
      <c r="V51" s="106" t="n">
        <f aca="false">SUM(H$34:T$34)</f>
        <v>1</v>
      </c>
      <c r="W51" s="30" t="n">
        <f aca="false">G51*(1-V51)</f>
        <v>-0</v>
      </c>
    </row>
    <row r="52" customFormat="false" ht="15" hidden="false" customHeight="false" outlineLevel="0" collapsed="false">
      <c r="A52" s="29" t="s">
        <v>474</v>
      </c>
      <c r="B52" s="60" t="s">
        <v>636</v>
      </c>
      <c r="C52" s="105" t="n">
        <v>-21860</v>
      </c>
      <c r="D52" s="62" t="n">
        <f aca="false">-Payables!M21</f>
        <v>-59617.05</v>
      </c>
      <c r="E52" s="62" t="n">
        <f aca="false">-Payables!N21</f>
        <v>-74155.2</v>
      </c>
      <c r="F52" s="62" t="n">
        <f aca="false">-Payables!O21</f>
        <v>-71180.2</v>
      </c>
      <c r="G52" s="62" t="n">
        <f aca="false">-Payables!P21</f>
        <v>-60315.5</v>
      </c>
      <c r="H52" s="71" t="n">
        <f aca="false">(D52-$C52)*H$11+E52*H$12+F52*H$13+G52*H$14</f>
        <v>-13910.4921052632</v>
      </c>
      <c r="I52" s="71" t="n">
        <f aca="false">(D52-$C52)*I$11+E52*I$12+F52*I$13+G52*I$14</f>
        <v>-13910.4921052632</v>
      </c>
      <c r="J52" s="71" t="n">
        <f aca="false">(D52-$C52)*J$11+E52*J$12+F52*J$13+G52*J$14</f>
        <v>-14720.2722410866</v>
      </c>
      <c r="K52" s="71" t="n">
        <f aca="false">(D52-$C52)*K$11+E52*K$12+F52*K$13+G52*K$14</f>
        <v>-16744.7225806452</v>
      </c>
      <c r="L52" s="71" t="n">
        <f aca="false">(D52-$C52)*L$11+E52*L$12+F52*L$13+G52*L$14</f>
        <v>-16744.7225806452</v>
      </c>
      <c r="M52" s="71" t="n">
        <f aca="false">(D52-$C52)*M$11+E52*M$12+F52*M$13+G52*M$14</f>
        <v>-16744.7225806452</v>
      </c>
      <c r="N52" s="71" t="n">
        <f aca="false">(D52-$C52)*N$11+E52*N$12+F52*N$13+G52*N$14</f>
        <v>-16744.7225806452</v>
      </c>
      <c r="O52" s="71" t="n">
        <f aca="false">(D52-$C52)*O$11+E52*O$12+F52*O$13+G52*O$14</f>
        <v>-16628.1432258065</v>
      </c>
      <c r="P52" s="71" t="n">
        <f aca="false">(D52-$C52)*P$11+E52*P$12+F52*P$13+G52*P$14</f>
        <v>-16608.7133333333</v>
      </c>
      <c r="Q52" s="71" t="n">
        <f aca="false">(D52-$C52)*Q$11+E52*Q$12+F52*Q$13+G52*Q$14</f>
        <v>-16608.7133333333</v>
      </c>
      <c r="R52" s="71" t="n">
        <f aca="false">(D52-$C52)*R$11+E52*R$12+F52*R$13+G52*R$14</f>
        <v>-16608.7133333333</v>
      </c>
      <c r="S52" s="71" t="n">
        <f aca="false">(D52-$C52)*S$11+E52*S$12+F52*S$13+G52*S$14</f>
        <v>-14900.6651612903</v>
      </c>
      <c r="T52" s="71" t="n">
        <f aca="false">(D52-$C52)*T$11+E52*T$12+F52*T$13+G52*T$14</f>
        <v>-13619.6290322581</v>
      </c>
      <c r="U52" s="61" t="n">
        <f aca="false">SUM(H52:T52)</f>
        <v>-204494.724193548</v>
      </c>
      <c r="V52" s="106" t="n">
        <f aca="false">SUM(H$14:T$14)</f>
        <v>0.354838709677419</v>
      </c>
      <c r="W52" s="30" t="n">
        <f aca="false">G52*(1-V52)</f>
        <v>-38913.2258064516</v>
      </c>
    </row>
    <row r="53" customFormat="false" ht="15" hidden="false" customHeight="false" outlineLevel="0" collapsed="false">
      <c r="A53" s="29" t="s">
        <v>651</v>
      </c>
      <c r="B53" s="60" t="s">
        <v>645</v>
      </c>
      <c r="C53" s="30" t="n">
        <f aca="false">D53</f>
        <v>-75685.38304</v>
      </c>
      <c r="D53" s="62" t="n">
        <f aca="false">VAT!M23+VAT!M24</f>
        <v>-75685.38304</v>
      </c>
      <c r="E53" s="62" t="n">
        <f aca="false">VAT!N23+VAT!N24</f>
        <v>-88417.227555</v>
      </c>
      <c r="F53" s="62" t="n">
        <f aca="false">VAT!O23+VAT!O24</f>
        <v>-53554.5402686063</v>
      </c>
      <c r="G53" s="62" t="n">
        <f aca="false">VAT!P23+VAT!P24</f>
        <v>-97259.9366265384</v>
      </c>
      <c r="H53" s="71" t="n">
        <f aca="false">(D53-$C53)*H$15+E53*H$16+F53*H$17+G53*H$18</f>
        <v>0</v>
      </c>
      <c r="I53" s="71" t="n">
        <f aca="false">(D53-$C53)*I$15+E53*I$16+F53*I$17+G53*I$18</f>
        <v>0</v>
      </c>
      <c r="J53" s="71" t="n">
        <f aca="false">(D53-$C53)*J$15+E53*J$16+F53*J$17+G53*J$18</f>
        <v>0</v>
      </c>
      <c r="K53" s="71" t="n">
        <f aca="false">(D53-$C53)*K$15+E53*K$16+F53*K$17+G53*K$18</f>
        <v>0</v>
      </c>
      <c r="L53" s="71" t="n">
        <f aca="false">(D53-$C53)*L$15+E53*L$16+F53*L$17+G53*L$18</f>
        <v>-88417.227555</v>
      </c>
      <c r="M53" s="71" t="n">
        <f aca="false">(D53-$C53)*M$15+E53*M$16+F53*M$17+G53*M$18</f>
        <v>0</v>
      </c>
      <c r="N53" s="71" t="n">
        <f aca="false">(D53-$C53)*N$15+E53*N$16+F53*N$17+G53*N$18</f>
        <v>0</v>
      </c>
      <c r="O53" s="71" t="n">
        <f aca="false">(D53-$C53)*O$15+E53*O$16+F53*O$17+G53*O$18</f>
        <v>0</v>
      </c>
      <c r="P53" s="71" t="n">
        <f aca="false">(D53-$C53)*P$15+E53*P$16+F53*P$17+G53*P$18</f>
        <v>-53554.5402686063</v>
      </c>
      <c r="Q53" s="71" t="n">
        <f aca="false">(D53-$C53)*Q$15+E53*Q$16+F53*Q$17+G53*Q$18</f>
        <v>0</v>
      </c>
      <c r="R53" s="71" t="n">
        <f aca="false">(D53-$C53)*R$15+E53*R$16+F53*R$17+G53*R$18</f>
        <v>0</v>
      </c>
      <c r="S53" s="71" t="n">
        <f aca="false">(D53-$C53)*S$15+E53*S$16+F53*S$17+G53*S$18</f>
        <v>0</v>
      </c>
      <c r="T53" s="71" t="n">
        <f aca="false">(D53-$C53)*T$15+E53*T$16+F53*T$17+G53*T$18</f>
        <v>-97259.9366265384</v>
      </c>
      <c r="U53" s="61" t="n">
        <f aca="false">SUM(H53:T53)</f>
        <v>-239231.704450145</v>
      </c>
      <c r="V53" s="106" t="n">
        <f aca="false">SUM(H$18:T$18)</f>
        <v>1</v>
      </c>
      <c r="W53" s="30" t="n">
        <f aca="false">G53*(1-V53)</f>
        <v>-0</v>
      </c>
    </row>
    <row r="54" customFormat="false" ht="15" hidden="false" customHeight="false" outlineLevel="0" collapsed="false">
      <c r="A54" s="29" t="s">
        <v>652</v>
      </c>
      <c r="B54" s="60" t="s">
        <v>645</v>
      </c>
      <c r="C54" s="30" t="n">
        <f aca="false">D54</f>
        <v>-41575</v>
      </c>
      <c r="D54" s="62" t="n">
        <f aca="false">-(Tax!M17+Tax!M18)</f>
        <v>-41575</v>
      </c>
      <c r="E54" s="62" t="n">
        <f aca="false">-(Tax!N17+Tax!N18)</f>
        <v>-0</v>
      </c>
      <c r="F54" s="62" t="n">
        <f aca="false">-(Tax!O17+Tax!O18)</f>
        <v>-0</v>
      </c>
      <c r="G54" s="62" t="n">
        <f aca="false">-(Tax!P17+Tax!P18)</f>
        <v>-41575</v>
      </c>
      <c r="H54" s="71" t="n">
        <f aca="false">(D54-$C54)*H$15+E54*H$16+F54*H$17+G54*H$18</f>
        <v>0</v>
      </c>
      <c r="I54" s="71" t="n">
        <f aca="false">(D54-$C54)*I$15+E54*I$16+F54*I$17+G54*I$18</f>
        <v>0</v>
      </c>
      <c r="J54" s="71" t="n">
        <f aca="false">(D54-$C54)*J$15+E54*J$16+F54*J$17+G54*J$18</f>
        <v>0</v>
      </c>
      <c r="K54" s="71" t="n">
        <f aca="false">(D54-$C54)*K$15+E54*K$16+F54*K$17+G54*K$18</f>
        <v>0</v>
      </c>
      <c r="L54" s="71" t="n">
        <f aca="false">(D54-$C54)*L$15+E54*L$16+F54*L$17+G54*L$18</f>
        <v>0</v>
      </c>
      <c r="M54" s="71" t="n">
        <f aca="false">(D54-$C54)*M$15+E54*M$16+F54*M$17+G54*M$18</f>
        <v>0</v>
      </c>
      <c r="N54" s="71" t="n">
        <f aca="false">(D54-$C54)*N$15+E54*N$16+F54*N$17+G54*N$18</f>
        <v>0</v>
      </c>
      <c r="O54" s="71" t="n">
        <f aca="false">(D54-$C54)*O$15+E54*O$16+F54*O$17+G54*O$18</f>
        <v>0</v>
      </c>
      <c r="P54" s="71" t="n">
        <f aca="false">(D54-$C54)*P$15+E54*P$16+F54*P$17+G54*P$18</f>
        <v>0</v>
      </c>
      <c r="Q54" s="71" t="n">
        <f aca="false">(D54-$C54)*Q$15+E54*Q$16+F54*Q$17+G54*Q$18</f>
        <v>0</v>
      </c>
      <c r="R54" s="71" t="n">
        <f aca="false">(D54-$C54)*R$15+E54*R$16+F54*R$17+G54*R$18</f>
        <v>0</v>
      </c>
      <c r="S54" s="71" t="n">
        <f aca="false">(D54-$C54)*S$15+E54*S$16+F54*S$17+G54*S$18</f>
        <v>0</v>
      </c>
      <c r="T54" s="71" t="n">
        <f aca="false">(D54-$C54)*T$15+E54*T$16+F54*T$17+G54*T$18</f>
        <v>-41575</v>
      </c>
      <c r="U54" s="61" t="n">
        <f aca="false">SUM(H54:T54)</f>
        <v>-41575</v>
      </c>
      <c r="V54" s="106" t="n">
        <f aca="false">SUM(H$18:T$18)</f>
        <v>1</v>
      </c>
      <c r="W54" s="30" t="n">
        <f aca="false">G54*(1-V54)</f>
        <v>-0</v>
      </c>
    </row>
    <row r="55" customFormat="false" ht="15" hidden="false" customHeight="false" outlineLevel="0" collapsed="false">
      <c r="A55" s="29" t="s">
        <v>653</v>
      </c>
      <c r="B55" s="60" t="s">
        <v>654</v>
      </c>
      <c r="C55" s="30" t="n">
        <v>0</v>
      </c>
      <c r="D55" s="62" t="n">
        <f aca="false">-(Tax!M23+Tax!M24)</f>
        <v>-0</v>
      </c>
      <c r="E55" s="62" t="n">
        <f aca="false">-(Tax!N23+Tax!N24)</f>
        <v>-0</v>
      </c>
      <c r="F55" s="62" t="n">
        <f aca="false">-(Tax!O23+Tax!O24)</f>
        <v>-45025</v>
      </c>
      <c r="G55" s="62" t="n">
        <f aca="false">-(Tax!P23+Tax!P24)</f>
        <v>-0</v>
      </c>
      <c r="H55" s="71" t="n">
        <f aca="false">(D55-$C55)*H$19+E55*H$20+F55*H$21+G55*H$22</f>
        <v>-0</v>
      </c>
      <c r="I55" s="71" t="n">
        <f aca="false">(D55-$C55)*I$19+E55*I$20+F55*I$21+G55*I$22</f>
        <v>-0</v>
      </c>
      <c r="J55" s="71" t="n">
        <f aca="false">(D55-$C55)*J$19+E55*J$20+F55*J$21+G55*J$22</f>
        <v>-0</v>
      </c>
      <c r="K55" s="71" t="n">
        <f aca="false">(D55-$C55)*K$19+E55*K$20+F55*K$21+G55*K$22</f>
        <v>-0</v>
      </c>
      <c r="L55" s="71" t="n">
        <f aca="false">(D55-$C55)*L$19+E55*L$20+F55*L$21+G55*L$22</f>
        <v>-0</v>
      </c>
      <c r="M55" s="71" t="n">
        <f aca="false">(D55-$C55)*M$19+E55*M$20+F55*M$21+G55*M$22</f>
        <v>-0</v>
      </c>
      <c r="N55" s="71" t="n">
        <f aca="false">(D55-$C55)*N$19+E55*N$20+F55*N$21+G55*N$22</f>
        <v>-0</v>
      </c>
      <c r="O55" s="71" t="n">
        <f aca="false">(D55-$C55)*O$19+E55*O$20+F55*O$21+G55*O$22</f>
        <v>-0</v>
      </c>
      <c r="P55" s="71" t="n">
        <f aca="false">(D55-$C55)*P$19+E55*P$20+F55*P$21+G55*P$22</f>
        <v>-0</v>
      </c>
      <c r="Q55" s="71" t="n">
        <f aca="false">(D55-$C55)*Q$19+E55*Q$20+F55*Q$21+G55*Q$22</f>
        <v>-45025</v>
      </c>
      <c r="R55" s="71" t="n">
        <f aca="false">(D55-$C55)*R$19+E55*R$20+F55*R$21+G55*R$22</f>
        <v>-0</v>
      </c>
      <c r="S55" s="71" t="n">
        <f aca="false">(D55-$C55)*S$19+E55*S$20+F55*S$21+G55*S$22</f>
        <v>-0</v>
      </c>
      <c r="T55" s="71" t="n">
        <f aca="false">(D55-$C55)*T$19+E55*T$20+F55*T$21+G55*T$22</f>
        <v>-0</v>
      </c>
      <c r="U55" s="61" t="n">
        <f aca="false">SUM(H55:T55)</f>
        <v>-45025</v>
      </c>
      <c r="V55" s="106" t="n">
        <f aca="false">SUM(H$22:T$22)</f>
        <v>0</v>
      </c>
      <c r="W55" s="30" t="n">
        <f aca="false">G55*(1-V55)</f>
        <v>-0</v>
      </c>
    </row>
    <row r="56" customFormat="false" ht="15" hidden="false" customHeight="false" outlineLevel="0" collapsed="false">
      <c r="A56" s="29" t="s">
        <v>655</v>
      </c>
      <c r="B56" s="60" t="s">
        <v>647</v>
      </c>
      <c r="C56" s="30" t="n">
        <v>0</v>
      </c>
      <c r="D56" s="62" t="n">
        <f aca="false">Financing!M10-Financing!M12-Financing!M13</f>
        <v>-4633.6585</v>
      </c>
      <c r="E56" s="62" t="n">
        <f aca="false">Financing!N10-Financing!N12-Financing!N13</f>
        <v>-4619.074</v>
      </c>
      <c r="F56" s="62" t="n">
        <f aca="false">Financing!O10-Financing!O12-Financing!O13</f>
        <v>-4604.4895</v>
      </c>
      <c r="G56" s="62" t="n">
        <f aca="false">Financing!P10-Financing!P12-Financing!P13</f>
        <v>-4589.905</v>
      </c>
      <c r="H56" s="71" t="n">
        <f aca="false">(D56-$C56)*H$35+E56*H$36+F56*H$37+G56*H$38</f>
        <v>-0</v>
      </c>
      <c r="I56" s="71" t="n">
        <f aca="false">(D56-$C56)*I$35+E56*I$36+F56*I$37+G56*I$38</f>
        <v>-0</v>
      </c>
      <c r="J56" s="71" t="n">
        <f aca="false">(D56-$C56)*J$35+E56*J$36+F56*J$37+G56*J$38</f>
        <v>-4633.6585</v>
      </c>
      <c r="K56" s="71" t="n">
        <f aca="false">(D56-$C56)*K$35+E56*K$36+F56*K$37+G56*K$38</f>
        <v>-0</v>
      </c>
      <c r="L56" s="71" t="n">
        <f aca="false">(D56-$C56)*L$35+E56*L$36+F56*L$37+G56*L$38</f>
        <v>-0</v>
      </c>
      <c r="M56" s="71" t="n">
        <f aca="false">(D56-$C56)*M$35+E56*M$36+F56*M$37+G56*M$38</f>
        <v>-0</v>
      </c>
      <c r="N56" s="71" t="n">
        <f aca="false">(D56-$C56)*N$35+E56*N$36+F56*N$37+G56*N$38</f>
        <v>-0</v>
      </c>
      <c r="O56" s="71" t="n">
        <f aca="false">(D56-$C56)*O$35+E56*O$36+F56*O$37+G56*O$38</f>
        <v>-4619.074</v>
      </c>
      <c r="P56" s="71" t="n">
        <f aca="false">(D56-$C56)*P$35+E56*P$36+F56*P$37+G56*P$38</f>
        <v>-0</v>
      </c>
      <c r="Q56" s="71" t="n">
        <f aca="false">(D56-$C56)*Q$35+E56*Q$36+F56*Q$37+G56*Q$38</f>
        <v>-0</v>
      </c>
      <c r="R56" s="71" t="n">
        <f aca="false">(D56-$C56)*R$35+E56*R$36+F56*R$37+G56*R$38</f>
        <v>-0</v>
      </c>
      <c r="S56" s="71" t="n">
        <f aca="false">(D56-$C56)*S$35+E56*S$36+F56*S$37+G56*S$38</f>
        <v>-4604.4895</v>
      </c>
      <c r="T56" s="71" t="n">
        <f aca="false">(D56-$C56)*T$35+E56*T$36+F56*T$37+G56*T$38</f>
        <v>-0</v>
      </c>
      <c r="U56" s="61" t="n">
        <f aca="false">SUM(H56:T56)</f>
        <v>-13857.222</v>
      </c>
      <c r="V56" s="106" t="n">
        <f aca="false">SUM(H$38:T$38)</f>
        <v>0</v>
      </c>
      <c r="W56" s="30" t="n">
        <f aca="false">G56*(1-V56)</f>
        <v>-4589.905</v>
      </c>
    </row>
    <row r="57" customFormat="false" ht="15" hidden="false" customHeight="false" outlineLevel="0" collapsed="false">
      <c r="A57" s="29" t="s">
        <v>476</v>
      </c>
      <c r="B57" s="60" t="s">
        <v>636</v>
      </c>
      <c r="C57" s="105" t="n">
        <v>-3229</v>
      </c>
      <c r="D57" s="62" t="n">
        <f aca="false">-Fixed_Assets!M25*(1+Assumptions!$C$18)</f>
        <v>-8806</v>
      </c>
      <c r="E57" s="62" t="n">
        <f aca="false">-Fixed_Assets!N25*(1+Assumptions!$C$18)</f>
        <v>-5950</v>
      </c>
      <c r="F57" s="62" t="n">
        <f aca="false">-Fixed_Assets!O25*(1+Assumptions!$C$18)</f>
        <v>-3094</v>
      </c>
      <c r="G57" s="62" t="n">
        <f aca="false">-Fixed_Assets!P25*(1+Assumptions!$C$18)</f>
        <v>-3094</v>
      </c>
      <c r="H57" s="71" t="n">
        <f aca="false">(D57-$C57)*H$11+E57*H$12+F57*H$13+G57*H$14</f>
        <v>-2054.68421052632</v>
      </c>
      <c r="I57" s="71" t="n">
        <f aca="false">(D57-$C57)*I$11+E57*I$12+F57*I$13+G57*I$14</f>
        <v>-2054.68421052632</v>
      </c>
      <c r="J57" s="71" t="n">
        <f aca="false">(D57-$C57)*J$11+E57*J$12+F57*J$13+G57*J$14</f>
        <v>-1851.5025466893</v>
      </c>
      <c r="K57" s="71" t="n">
        <f aca="false">(D57-$C57)*K$11+E57*K$12+F57*K$13+G57*K$14</f>
        <v>-1343.54838709677</v>
      </c>
      <c r="L57" s="71" t="n">
        <f aca="false">(D57-$C57)*L$11+E57*L$12+F57*L$13+G57*L$14</f>
        <v>-1343.54838709677</v>
      </c>
      <c r="M57" s="71" t="n">
        <f aca="false">(D57-$C57)*M$11+E57*M$12+F57*M$13+G57*M$14</f>
        <v>-1343.54838709677</v>
      </c>
      <c r="N57" s="71" t="n">
        <f aca="false">(D57-$C57)*N$11+E57*N$12+F57*N$13+G57*N$14</f>
        <v>-1343.54838709677</v>
      </c>
      <c r="O57" s="71" t="n">
        <f aca="false">(D57-$C57)*O$11+E57*O$12+F57*O$13+G57*O$14</f>
        <v>-810.735483870968</v>
      </c>
      <c r="P57" s="71" t="n">
        <f aca="false">(D57-$C57)*P$11+E57*P$12+F57*P$13+G57*P$14</f>
        <v>-721.933333333333</v>
      </c>
      <c r="Q57" s="71" t="n">
        <f aca="false">(D57-$C57)*Q$11+E57*Q$12+F57*Q$13+G57*Q$14</f>
        <v>-721.933333333333</v>
      </c>
      <c r="R57" s="71" t="n">
        <f aca="false">(D57-$C57)*R$11+E57*R$12+F57*R$13+G57*R$14</f>
        <v>-721.933333333333</v>
      </c>
      <c r="S57" s="71" t="n">
        <f aca="false">(D57-$C57)*S$11+E57*S$12+F57*S$13+G57*S$14</f>
        <v>-708.625806451613</v>
      </c>
      <c r="T57" s="71" t="n">
        <f aca="false">(D57-$C57)*T$11+E57*T$12+F57*T$13+G57*T$14</f>
        <v>-698.645161290323</v>
      </c>
      <c r="U57" s="61" t="n">
        <f aca="false">SUM(H57:T57)</f>
        <v>-15718.8709677419</v>
      </c>
      <c r="V57" s="106" t="n">
        <f aca="false">SUM(H$14:T$14)</f>
        <v>0.354838709677419</v>
      </c>
      <c r="W57" s="30" t="n">
        <f aca="false">G57*(1-V57)</f>
        <v>-1996.12903225806</v>
      </c>
    </row>
    <row r="58" customFormat="false" ht="15" hidden="false" customHeight="false" outlineLevel="0" collapsed="false">
      <c r="A58" s="29" t="s">
        <v>479</v>
      </c>
      <c r="B58" s="60" t="s">
        <v>647</v>
      </c>
      <c r="C58" s="30" t="n">
        <v>0</v>
      </c>
      <c r="D58" s="62" t="n">
        <f aca="false">-Financing!M17</f>
        <v>-0</v>
      </c>
      <c r="E58" s="62" t="n">
        <f aca="false">-Financing!N17</f>
        <v>-0</v>
      </c>
      <c r="F58" s="62" t="n">
        <f aca="false">-Financing!O17</f>
        <v>-0</v>
      </c>
      <c r="G58" s="62" t="n">
        <f aca="false">-Financing!P17</f>
        <v>-0</v>
      </c>
      <c r="H58" s="71" t="n">
        <f aca="false">(D58-$C58)*H$35+E58*H$36+F58*H$37+G58*H$38</f>
        <v>-0</v>
      </c>
      <c r="I58" s="71" t="n">
        <f aca="false">(D58-$C58)*I$35+E58*I$36+F58*I$37+G58*I$38</f>
        <v>-0</v>
      </c>
      <c r="J58" s="71" t="n">
        <f aca="false">(D58-$C58)*J$35+E58*J$36+F58*J$37+G58*J$38</f>
        <v>-0</v>
      </c>
      <c r="K58" s="71" t="n">
        <f aca="false">(D58-$C58)*K$35+E58*K$36+F58*K$37+G58*K$38</f>
        <v>-0</v>
      </c>
      <c r="L58" s="71" t="n">
        <f aca="false">(D58-$C58)*L$35+E58*L$36+F58*L$37+G58*L$38</f>
        <v>-0</v>
      </c>
      <c r="M58" s="71" t="n">
        <f aca="false">(D58-$C58)*M$35+E58*M$36+F58*M$37+G58*M$38</f>
        <v>-0</v>
      </c>
      <c r="N58" s="71" t="n">
        <f aca="false">(D58-$C58)*N$35+E58*N$36+F58*N$37+G58*N$38</f>
        <v>-0</v>
      </c>
      <c r="O58" s="71" t="n">
        <f aca="false">(D58-$C58)*O$35+E58*O$36+F58*O$37+G58*O$38</f>
        <v>-0</v>
      </c>
      <c r="P58" s="71" t="n">
        <f aca="false">(D58-$C58)*P$35+E58*P$36+F58*P$37+G58*P$38</f>
        <v>-0</v>
      </c>
      <c r="Q58" s="71" t="n">
        <f aca="false">(D58-$C58)*Q$35+E58*Q$36+F58*Q$37+G58*Q$38</f>
        <v>-0</v>
      </c>
      <c r="R58" s="71" t="n">
        <f aca="false">(D58-$C58)*R$35+E58*R$36+F58*R$37+G58*R$38</f>
        <v>-0</v>
      </c>
      <c r="S58" s="71" t="n">
        <f aca="false">(D58-$C58)*S$35+E58*S$36+F58*S$37+G58*S$38</f>
        <v>-0</v>
      </c>
      <c r="T58" s="71" t="n">
        <f aca="false">(D58-$C58)*T$35+E58*T$36+F58*T$37+G58*T$38</f>
        <v>-0</v>
      </c>
      <c r="U58" s="61" t="n">
        <f aca="false">SUM(H58:T58)</f>
        <v>0</v>
      </c>
      <c r="V58" s="106" t="n">
        <f aca="false">SUM(H$38:T$38)</f>
        <v>0</v>
      </c>
      <c r="W58" s="30" t="n">
        <f aca="false">G58*(1-V58)</f>
        <v>-0</v>
      </c>
    </row>
    <row r="59" customFormat="false" ht="15" hidden="false" customHeight="false" outlineLevel="0" collapsed="false">
      <c r="A59" s="73" t="s">
        <v>656</v>
      </c>
      <c r="B59" s="107" t="s">
        <v>638</v>
      </c>
      <c r="C59" s="108" t="n">
        <f aca="false">C44+C45+C46+C47+C48+C49+C50+C51+C52+C53+C54+C55+C56+C57+C58</f>
        <v>-287432.322906667</v>
      </c>
      <c r="D59" s="109" t="n">
        <f aca="false">D44+D45+D46+D47+D48+D49+D50+D51+D52+D53+D54+D55+D56+D57+D58</f>
        <v>-671006.477979873</v>
      </c>
      <c r="E59" s="109" t="n">
        <f aca="false">E44+E45+E46+E47+E48+E49+E50+E51+E52+E53+E54+E55+E56+E57+E58</f>
        <v>-694476.639754729</v>
      </c>
      <c r="F59" s="109" t="n">
        <f aca="false">F44+F45+F46+F47+F48+F49+F50+F51+F52+F53+F54+F55+F56+F57+F58</f>
        <v>-667056.953963592</v>
      </c>
      <c r="G59" s="109" t="n">
        <f aca="false">G44+G45+G46+G47+G48+G49+G50+G51+G52+G53+G54+G55+G56+G57+G58</f>
        <v>-681370.786270135</v>
      </c>
      <c r="H59" s="70" t="n">
        <f aca="false">H44+H45+H46+H47+H48+H49+H50+H51+H52+H53+H54+H55+H56+H57+H58</f>
        <v>-31160.7187928334</v>
      </c>
      <c r="I59" s="70" t="n">
        <f aca="false">I44+I45+I46+I47+I48+I49+I50+I51+I52+I53+I54+I55+I56+I57+I58</f>
        <v>-31160.7187928334</v>
      </c>
      <c r="J59" s="70" t="n">
        <f aca="false">J44+J45+J46+J47+J48+J49+J50+J51+J52+J53+J54+J55+J56+J57+J58</f>
        <v>-361410.235576897</v>
      </c>
      <c r="K59" s="70" t="n">
        <f aca="false">K44+K45+K46+K47+K48+K49+K50+K51+K52+K53+K54+K55+K56+K57+K58</f>
        <v>-40591.3133127486</v>
      </c>
      <c r="L59" s="70" t="n">
        <f aca="false">L44+L45+L46+L47+L48+L49+L50+L51+L52+L53+L54+L55+L56+L57+L58</f>
        <v>-223299.998645526</v>
      </c>
      <c r="M59" s="70" t="n">
        <f aca="false">M44+M45+M46+M47+M48+M49+M50+M51+M52+M53+M54+M55+M56+M57+M58</f>
        <v>-40591.3133127486</v>
      </c>
      <c r="N59" s="70" t="n">
        <f aca="false">N44+N45+N46+N47+N48+N49+N50+N51+N52+N53+N54+N55+N56+N57+N58</f>
        <v>-339418.66334967</v>
      </c>
      <c r="O59" s="70" t="n">
        <f aca="false">O44+O45+O46+O47+O48+O49+O50+O51+O52+O53+O54+O55+O56+O57+O58</f>
        <v>-67616.6750649993</v>
      </c>
      <c r="P59" s="70" t="n">
        <f aca="false">P44+P45+P46+P47+P48+P49+P50+P51+P52+P53+P54+P55+P56+P57+P58</f>
        <v>-182424.088505277</v>
      </c>
      <c r="Q59" s="70" t="n">
        <f aca="false">Q44+Q45+Q46+Q47+Q48+Q49+Q50+Q51+Q52+Q53+Q54+Q55+Q56+Q57+Q58</f>
        <v>-78436.9823570411</v>
      </c>
      <c r="R59" s="70" t="n">
        <f aca="false">R44+R45+R46+R47+R48+R49+R50+R51+R52+R53+R54+R55+R56+R57+R58</f>
        <v>-140493.05966426</v>
      </c>
      <c r="S59" s="70" t="n">
        <f aca="false">S44+S45+S46+S47+S48+S49+S50+S51+S52+S53+S54+S55+S56+S57+S58</f>
        <v>-252288.48599263</v>
      </c>
      <c r="T59" s="70" t="n">
        <f aca="false">T44+T45+T46+T47+T48+T49+T50+T51+T52+T53+T54+T55+T56+T57+T58</f>
        <v>-260356.664607422</v>
      </c>
      <c r="U59" s="70" t="n">
        <f aca="false">SUM(H59:T59)</f>
        <v>-2049248.91797489</v>
      </c>
      <c r="V59" s="76"/>
      <c r="W59" s="76"/>
    </row>
    <row r="60" customFormat="false" ht="15" hidden="false" customHeight="false" outlineLevel="0" collapsed="false">
      <c r="A60" s="23" t="s">
        <v>458</v>
      </c>
      <c r="B60" s="24"/>
      <c r="C60" s="24"/>
      <c r="D60" s="24"/>
      <c r="E60" s="24"/>
      <c r="F60" s="24"/>
      <c r="G60" s="24"/>
      <c r="H60" s="24"/>
      <c r="I60" s="24"/>
      <c r="J60" s="24"/>
      <c r="K60" s="24"/>
      <c r="L60" s="24"/>
      <c r="M60" s="24"/>
      <c r="N60" s="24"/>
      <c r="O60" s="24"/>
      <c r="P60" s="24"/>
      <c r="Q60" s="24"/>
      <c r="R60" s="24"/>
      <c r="S60" s="24"/>
      <c r="T60" s="24"/>
      <c r="U60" s="24"/>
      <c r="V60" s="24"/>
      <c r="W60" s="24"/>
    </row>
    <row r="61" customFormat="false" ht="15" hidden="false" customHeight="false" outlineLevel="0" collapsed="false">
      <c r="A61" s="73" t="s">
        <v>657</v>
      </c>
      <c r="B61" s="107" t="s">
        <v>638</v>
      </c>
      <c r="C61" s="70" t="n">
        <f aca="false">C42+C59</f>
        <v>-37504.3229066667</v>
      </c>
      <c r="D61" s="109" t="n">
        <f aca="false">D42+D59</f>
        <v>10614.9909201267</v>
      </c>
      <c r="E61" s="109" t="n">
        <f aca="false">E42+E59</f>
        <v>-17702.8708657286</v>
      </c>
      <c r="F61" s="109" t="n">
        <f aca="false">F42+F59</f>
        <v>125927.951748055</v>
      </c>
      <c r="G61" s="109" t="n">
        <f aca="false">G42+G59</f>
        <v>137879.044264821</v>
      </c>
      <c r="H61" s="70" t="n">
        <f aca="false">H42+H59</f>
        <v>127884.243433482</v>
      </c>
      <c r="I61" s="70" t="n">
        <f aca="false">I42+I59</f>
        <v>127884.243433482</v>
      </c>
      <c r="J61" s="70" t="n">
        <f aca="false">J42+J59</f>
        <v>-204143.867330238</v>
      </c>
      <c r="K61" s="70" t="n">
        <f aca="false">K42+K59</f>
        <v>112228.569984768</v>
      </c>
      <c r="L61" s="70" t="n">
        <f aca="false">L42+L59</f>
        <v>-70480.1153480102</v>
      </c>
      <c r="M61" s="70" t="n">
        <f aca="false">M42+M59</f>
        <v>112228.569984768</v>
      </c>
      <c r="N61" s="70" t="n">
        <f aca="false">N42+N59</f>
        <v>-186598.780052154</v>
      </c>
      <c r="O61" s="70" t="n">
        <f aca="false">O42+O59</f>
        <v>112811.717976975</v>
      </c>
      <c r="P61" s="70" t="n">
        <f aca="false">P42+P59</f>
        <v>2605.72282744065</v>
      </c>
      <c r="Q61" s="70" t="n">
        <f aca="false">Q42+Q59</f>
        <v>106592.828975677</v>
      </c>
      <c r="R61" s="70" t="n">
        <f aca="false">R42+R59</f>
        <v>44536.7516684579</v>
      </c>
      <c r="S61" s="70" t="n">
        <f aca="false">S42+S59</f>
        <v>-67280.3398685676</v>
      </c>
      <c r="T61" s="70" t="n">
        <f aca="false">T42+T59</f>
        <v>-75364.7673898512</v>
      </c>
      <c r="U61" s="70" t="n">
        <f aca="false">SUM(H61:T61)</f>
        <v>142904.778296229</v>
      </c>
      <c r="V61" s="76"/>
      <c r="W61" s="76"/>
    </row>
    <row r="62" customFormat="false" ht="15" hidden="false" customHeight="false" outlineLevel="0" collapsed="false">
      <c r="A62" s="0" t="s">
        <v>460</v>
      </c>
      <c r="B62" s="60" t="s">
        <v>658</v>
      </c>
      <c r="C62" s="85" t="n">
        <f aca="false">INDEX(BS!$E$9:$AB$9,Assumptions!$C$10)+C61</f>
        <v>673446.499345</v>
      </c>
      <c r="H62" s="30" t="n">
        <f aca="false">C62</f>
        <v>673446.499345</v>
      </c>
      <c r="I62" s="30" t="n">
        <f aca="false">H63</f>
        <v>801330.742778482</v>
      </c>
      <c r="J62" s="30" t="n">
        <f aca="false">I63</f>
        <v>929214.986211965</v>
      </c>
      <c r="K62" s="30" t="n">
        <f aca="false">J63</f>
        <v>725071.118881727</v>
      </c>
      <c r="L62" s="30" t="n">
        <f aca="false">K63</f>
        <v>837299.688866495</v>
      </c>
      <c r="M62" s="30" t="n">
        <f aca="false">L63</f>
        <v>766819.573518484</v>
      </c>
      <c r="N62" s="30" t="n">
        <f aca="false">M63</f>
        <v>879048.143503252</v>
      </c>
      <c r="O62" s="30" t="n">
        <f aca="false">N63</f>
        <v>692449.363451098</v>
      </c>
      <c r="P62" s="30" t="n">
        <f aca="false">O63</f>
        <v>805261.081428073</v>
      </c>
      <c r="Q62" s="30" t="n">
        <f aca="false">P63</f>
        <v>807866.804255514</v>
      </c>
      <c r="R62" s="30" t="n">
        <f aca="false">Q63</f>
        <v>914459.633231191</v>
      </c>
      <c r="S62" s="30" t="n">
        <f aca="false">R63</f>
        <v>958996.384899648</v>
      </c>
      <c r="T62" s="30" t="n">
        <f aca="false">S63</f>
        <v>891716.045031081</v>
      </c>
    </row>
    <row r="63" customFormat="false" ht="15" hidden="false" customHeight="false" outlineLevel="0" collapsed="false">
      <c r="A63" s="73" t="s">
        <v>659</v>
      </c>
      <c r="B63" s="76"/>
      <c r="C63" s="76"/>
      <c r="D63" s="76"/>
      <c r="E63" s="76"/>
      <c r="F63" s="76"/>
      <c r="G63" s="76"/>
      <c r="H63" s="70" t="n">
        <f aca="false">H62+H61</f>
        <v>801330.742778482</v>
      </c>
      <c r="I63" s="70" t="n">
        <f aca="false">I62+I61</f>
        <v>929214.986211965</v>
      </c>
      <c r="J63" s="70" t="n">
        <f aca="false">J62+J61</f>
        <v>725071.118881727</v>
      </c>
      <c r="K63" s="70" t="n">
        <f aca="false">K62+K61</f>
        <v>837299.688866495</v>
      </c>
      <c r="L63" s="70" t="n">
        <f aca="false">L62+L61</f>
        <v>766819.573518484</v>
      </c>
      <c r="M63" s="70" t="n">
        <f aca="false">M62+M61</f>
        <v>879048.143503252</v>
      </c>
      <c r="N63" s="70" t="n">
        <f aca="false">N62+N61</f>
        <v>692449.363451098</v>
      </c>
      <c r="O63" s="70" t="n">
        <f aca="false">O62+O61</f>
        <v>805261.081428073</v>
      </c>
      <c r="P63" s="70" t="n">
        <f aca="false">P62+P61</f>
        <v>807866.804255514</v>
      </c>
      <c r="Q63" s="70" t="n">
        <f aca="false">Q62+Q61</f>
        <v>914459.633231191</v>
      </c>
      <c r="R63" s="70" t="n">
        <f aca="false">R62+R61</f>
        <v>958996.384899648</v>
      </c>
      <c r="S63" s="70" t="n">
        <f aca="false">S62+S61</f>
        <v>891716.045031081</v>
      </c>
      <c r="T63" s="70" t="n">
        <f aca="false">T62+T61</f>
        <v>816351.277641229</v>
      </c>
      <c r="U63" s="76"/>
      <c r="V63" s="76"/>
      <c r="W63" s="76"/>
    </row>
    <row r="65" customFormat="false" ht="15" hidden="false" customHeight="false" outlineLevel="0" collapsed="false">
      <c r="A65" s="23" t="s">
        <v>660</v>
      </c>
      <c r="B65" s="24"/>
      <c r="C65" s="24"/>
      <c r="D65" s="24"/>
      <c r="E65" s="24"/>
      <c r="F65" s="24"/>
      <c r="G65" s="24"/>
      <c r="H65" s="24"/>
      <c r="I65" s="24"/>
      <c r="J65" s="24"/>
      <c r="K65" s="24"/>
      <c r="L65" s="24"/>
      <c r="M65" s="24"/>
      <c r="N65" s="24"/>
      <c r="O65" s="24"/>
      <c r="P65" s="24"/>
      <c r="Q65" s="24"/>
      <c r="R65" s="24"/>
      <c r="S65" s="24"/>
      <c r="T65" s="24"/>
      <c r="U65" s="24"/>
      <c r="V65" s="24"/>
      <c r="W65" s="24"/>
    </row>
    <row r="66" customFormat="false" ht="15" hidden="false" customHeight="false" outlineLevel="0" collapsed="false">
      <c r="A66" s="0" t="s">
        <v>661</v>
      </c>
      <c r="H66" s="62" t="n">
        <f aca="false">Assumptions!$C$13</f>
        <v>600000</v>
      </c>
      <c r="I66" s="62" t="n">
        <f aca="false">Assumptions!$C$13</f>
        <v>600000</v>
      </c>
      <c r="J66" s="62" t="n">
        <f aca="false">Assumptions!$C$13</f>
        <v>600000</v>
      </c>
      <c r="K66" s="62" t="n">
        <f aca="false">Assumptions!$C$13</f>
        <v>600000</v>
      </c>
      <c r="L66" s="62" t="n">
        <f aca="false">Assumptions!$C$13</f>
        <v>600000</v>
      </c>
      <c r="M66" s="62" t="n">
        <f aca="false">Assumptions!$C$13</f>
        <v>600000</v>
      </c>
      <c r="N66" s="62" t="n">
        <f aca="false">Assumptions!$C$13</f>
        <v>600000</v>
      </c>
      <c r="O66" s="62" t="n">
        <f aca="false">Assumptions!$C$13</f>
        <v>600000</v>
      </c>
      <c r="P66" s="62" t="n">
        <f aca="false">Assumptions!$C$13</f>
        <v>600000</v>
      </c>
      <c r="Q66" s="62" t="n">
        <f aca="false">Assumptions!$C$13</f>
        <v>600000</v>
      </c>
      <c r="R66" s="62" t="n">
        <f aca="false">Assumptions!$C$13</f>
        <v>600000</v>
      </c>
      <c r="S66" s="62" t="n">
        <f aca="false">Assumptions!$C$13</f>
        <v>600000</v>
      </c>
      <c r="T66" s="62" t="n">
        <f aca="false">Assumptions!$C$13</f>
        <v>600000</v>
      </c>
    </row>
    <row r="67" customFormat="false" ht="15" hidden="false" customHeight="false" outlineLevel="0" collapsed="false">
      <c r="A67" s="5" t="s">
        <v>662</v>
      </c>
      <c r="H67" s="37" t="n">
        <f aca="false">H63-H66</f>
        <v>201330.742778482</v>
      </c>
      <c r="I67" s="37" t="n">
        <f aca="false">I63-I66</f>
        <v>329214.986211965</v>
      </c>
      <c r="J67" s="37" t="n">
        <f aca="false">J63-J66</f>
        <v>125071.118881727</v>
      </c>
      <c r="K67" s="37" t="n">
        <f aca="false">K63-K66</f>
        <v>237299.688866494</v>
      </c>
      <c r="L67" s="37" t="n">
        <f aca="false">L63-L66</f>
        <v>166819.573518484</v>
      </c>
      <c r="M67" s="37" t="n">
        <f aca="false">M63-M66</f>
        <v>279048.143503252</v>
      </c>
      <c r="N67" s="37" t="n">
        <f aca="false">N63-N66</f>
        <v>92449.363451098</v>
      </c>
      <c r="O67" s="37" t="n">
        <f aca="false">O63-O66</f>
        <v>205261.081428073</v>
      </c>
      <c r="P67" s="37" t="n">
        <f aca="false">P63-P66</f>
        <v>207866.804255514</v>
      </c>
      <c r="Q67" s="37" t="n">
        <f aca="false">Q63-Q66</f>
        <v>314459.633231191</v>
      </c>
      <c r="R67" s="37" t="n">
        <f aca="false">R63-R66</f>
        <v>358996.384899648</v>
      </c>
      <c r="S67" s="37" t="n">
        <f aca="false">S63-S66</f>
        <v>291716.045031081</v>
      </c>
      <c r="T67" s="37" t="n">
        <f aca="false">T63-T66</f>
        <v>216351.277641229</v>
      </c>
    </row>
    <row r="68" customFormat="false" ht="15" hidden="false" customHeight="false" outlineLevel="0" collapsed="false">
      <c r="A68" s="0" t="s">
        <v>152</v>
      </c>
      <c r="H68" s="32" t="str">
        <f aca="false">IF(H63&lt;0,"NEGATIVE",IF(H67&lt;0,"BELOW BUFFER","OK"))</f>
        <v>OK</v>
      </c>
      <c r="I68" s="32" t="str">
        <f aca="false">IF(I63&lt;0,"NEGATIVE",IF(I67&lt;0,"BELOW BUFFER","OK"))</f>
        <v>OK</v>
      </c>
      <c r="J68" s="32" t="str">
        <f aca="false">IF(J63&lt;0,"NEGATIVE",IF(J67&lt;0,"BELOW BUFFER","OK"))</f>
        <v>OK</v>
      </c>
      <c r="K68" s="32" t="str">
        <f aca="false">IF(K63&lt;0,"NEGATIVE",IF(K67&lt;0,"BELOW BUFFER","OK"))</f>
        <v>OK</v>
      </c>
      <c r="L68" s="32" t="str">
        <f aca="false">IF(L63&lt;0,"NEGATIVE",IF(L67&lt;0,"BELOW BUFFER","OK"))</f>
        <v>OK</v>
      </c>
      <c r="M68" s="32" t="str">
        <f aca="false">IF(M63&lt;0,"NEGATIVE",IF(M67&lt;0,"BELOW BUFFER","OK"))</f>
        <v>OK</v>
      </c>
      <c r="N68" s="32" t="str">
        <f aca="false">IF(N63&lt;0,"NEGATIVE",IF(N67&lt;0,"BELOW BUFFER","OK"))</f>
        <v>OK</v>
      </c>
      <c r="O68" s="32" t="str">
        <f aca="false">IF(O63&lt;0,"NEGATIVE",IF(O67&lt;0,"BELOW BUFFER","OK"))</f>
        <v>OK</v>
      </c>
      <c r="P68" s="32" t="str">
        <f aca="false">IF(P63&lt;0,"NEGATIVE",IF(P67&lt;0,"BELOW BUFFER","OK"))</f>
        <v>OK</v>
      </c>
      <c r="Q68" s="32" t="str">
        <f aca="false">IF(Q63&lt;0,"NEGATIVE",IF(Q67&lt;0,"BELOW BUFFER","OK"))</f>
        <v>OK</v>
      </c>
      <c r="R68" s="32" t="str">
        <f aca="false">IF(R63&lt;0,"NEGATIVE",IF(R67&lt;0,"BELOW BUFFER","OK"))</f>
        <v>OK</v>
      </c>
      <c r="S68" s="32" t="str">
        <f aca="false">IF(S63&lt;0,"NEGATIVE",IF(S67&lt;0,"BELOW BUFFER","OK"))</f>
        <v>OK</v>
      </c>
      <c r="T68" s="32" t="str">
        <f aca="false">IF(T63&lt;0,"NEGATIVE",IF(T67&lt;0,"BELOW BUFFER","OK"))</f>
        <v>OK</v>
      </c>
    </row>
    <row r="69" customFormat="false" ht="15" hidden="false" customHeight="false" outlineLevel="0" collapsed="false">
      <c r="A69" s="0" t="s">
        <v>663</v>
      </c>
      <c r="C69" s="37" t="n">
        <f aca="false">MIN(H63:T63)</f>
        <v>692449.363451098</v>
      </c>
    </row>
    <row r="70" customFormat="false" ht="15" hidden="false" customHeight="false" outlineLevel="0" collapsed="false">
      <c r="A70" s="0" t="s">
        <v>664</v>
      </c>
      <c r="C70" s="110" t="n">
        <f aca="false">INDEX(H$6:T$6,MATCH(MIN(H63:T63),H63:T63,0))</f>
        <v>46325</v>
      </c>
    </row>
    <row r="71" customFormat="false" ht="15" hidden="false" customHeight="false" outlineLevel="0" collapsed="false">
      <c r="A71" s="0" t="s">
        <v>665</v>
      </c>
      <c r="C71" s="37" t="n">
        <f aca="false">MIN(H67:T67)</f>
        <v>92449.363451098</v>
      </c>
    </row>
    <row r="72" customFormat="false" ht="15" hidden="false" customHeight="false" outlineLevel="0" collapsed="false">
      <c r="A72" s="0" t="s">
        <v>666</v>
      </c>
      <c r="C72" s="37" t="n">
        <f aca="false">Assumptions!$C$14</f>
        <v>750000</v>
      </c>
    </row>
    <row r="73" customFormat="false" ht="15" hidden="false" customHeight="false" outlineLevel="0" collapsed="false">
      <c r="A73" s="0" t="s">
        <v>667</v>
      </c>
      <c r="C73" s="37" t="n">
        <f aca="false">Assumptions!$C$14+MIN(0,MIN(H67:T67))</f>
        <v>750000</v>
      </c>
    </row>
    <row r="74" customFormat="false" ht="15" hidden="false" customHeight="false" outlineLevel="0" collapsed="false">
      <c r="A74" s="0" t="s">
        <v>668</v>
      </c>
      <c r="C74" s="37" t="n">
        <f aca="false">-(SUM(H46:T46)+SUM(H47:T47)+SUM(H53:T53)+SUM(H54:T54)+SUM(H55:T55))</f>
        <v>931570.686377782</v>
      </c>
    </row>
    <row r="76" customFormat="false" ht="15" hidden="false" customHeight="false" outlineLevel="0" collapsed="false">
      <c r="A76" s="23" t="s">
        <v>669</v>
      </c>
      <c r="B76" s="24"/>
      <c r="C76" s="24"/>
      <c r="D76" s="24"/>
      <c r="E76" s="24"/>
      <c r="F76" s="24"/>
      <c r="G76" s="24"/>
      <c r="H76" s="24"/>
      <c r="I76" s="24"/>
      <c r="J76" s="24"/>
      <c r="K76" s="24"/>
      <c r="L76" s="24"/>
      <c r="M76" s="24"/>
      <c r="N76" s="24"/>
      <c r="O76" s="24"/>
      <c r="P76" s="24"/>
      <c r="Q76" s="24"/>
      <c r="R76" s="24"/>
      <c r="S76" s="24"/>
      <c r="T76" s="24"/>
      <c r="U76" s="24"/>
      <c r="V76" s="24"/>
      <c r="W76" s="24"/>
    </row>
    <row r="77" customFormat="false" ht="15" hidden="false" customHeight="false" outlineLevel="0" collapsed="false">
      <c r="A77" s="82" t="s">
        <v>670</v>
      </c>
      <c r="C77" s="71" t="n">
        <f aca="false">T63</f>
        <v>816351.277641229</v>
      </c>
    </row>
    <row r="78" customFormat="false" ht="15" hidden="false" customHeight="false" outlineLevel="0" collapsed="false">
      <c r="A78" s="82" t="s">
        <v>671</v>
      </c>
      <c r="C78" s="71" t="n">
        <f aca="false">SUM(W41:W58)</f>
        <v>151318.660677712</v>
      </c>
    </row>
    <row r="79" customFormat="false" ht="15" hidden="false" customHeight="false" outlineLevel="0" collapsed="false">
      <c r="A79" s="5" t="s">
        <v>672</v>
      </c>
      <c r="C79" s="37" t="n">
        <f aca="false">C77+C78</f>
        <v>967669.938318941</v>
      </c>
    </row>
    <row r="80" customFormat="false" ht="15" hidden="false" customHeight="false" outlineLevel="0" collapsed="false">
      <c r="A80" s="82" t="s">
        <v>673</v>
      </c>
      <c r="C80" s="71" t="n">
        <f aca="false">BS!P9</f>
        <v>967669.938318941</v>
      </c>
    </row>
    <row r="81" customFormat="false" ht="15" hidden="false" customHeight="false" outlineLevel="0" collapsed="false">
      <c r="A81" s="5" t="s">
        <v>674</v>
      </c>
      <c r="C81" s="37" t="n">
        <f aca="false">ROUND(C79-C80,0)</f>
        <v>0</v>
      </c>
    </row>
    <row r="83" customFormat="false" ht="15" hidden="false" customHeight="false" outlineLevel="0" collapsed="false">
      <c r="A83" s="23" t="s">
        <v>675</v>
      </c>
      <c r="B83" s="24"/>
      <c r="C83" s="24"/>
      <c r="D83" s="24"/>
      <c r="E83" s="24"/>
      <c r="F83" s="24"/>
      <c r="G83" s="24"/>
      <c r="H83" s="24"/>
      <c r="I83" s="24"/>
      <c r="J83" s="24"/>
      <c r="K83" s="24"/>
      <c r="L83" s="24"/>
      <c r="M83" s="24"/>
      <c r="N83" s="24"/>
      <c r="O83" s="24"/>
      <c r="P83" s="24"/>
      <c r="Q83" s="24"/>
      <c r="R83" s="24"/>
      <c r="S83" s="24"/>
      <c r="T83" s="24"/>
      <c r="U83" s="24"/>
      <c r="V83" s="24"/>
      <c r="W83" s="24"/>
    </row>
    <row r="84" customFormat="false" ht="15" hidden="false" customHeight="false" outlineLevel="0" collapsed="false">
      <c r="A84" s="14" t="str">
        <f aca="false">"1. Clear the Norlach invoices held in the supplier portal: EUR "&amp;TEXT(INDEX(Clients!$E$32:$AB$32,Assumptions!$C$10)/1000,"#,##0")&amp;"k at "&amp;TEXT(Assumptions!$C$9,"mmm-yy")&amp;" on 60-day terms, the June invoice overdue pending the phase 2 cap sign-off."</f>
        <v>1. Clear the Norlach invoices held in the supplier portal: EUR 192k at Aug-26 on 60-day terms, the June invoice overdue pending the phase 2 cap sign-off.</v>
      </c>
    </row>
    <row r="85" customFormat="false" ht="15" hidden="false" customHeight="false" outlineLevel="0" collapsed="false">
      <c r="A85" s="14" t="str">
        <f aca="false">"2. Draw the overdraft (EUR "&amp;TEXT(Assumptions!$C$14/1000,"#,##0")&amp;"k undrawn) for the days between the third-last banking day (social security) and the 10th (wage tax and VAT)."</f>
        <v>2. Draw the overdraft (EUR 750k undrawn) for the days between the third-last banking day (social security) and the 10th (wage tax and VAT).</v>
      </c>
    </row>
    <row r="86" customFormat="false" ht="15" hidden="false" customHeight="false" outlineLevel="0" collapsed="false">
      <c r="A86" s="14" t="str">
        <f aca="false">"3. Invoice every fixed-fee milestone on the day the client accepts the deliverable, and send time and materials invoices on the first working day with approved timesheets attached."</f>
        <v>3. Invoice every fixed-fee milestone on the day the client accepts the deliverable, and send time and materials invoices on the first working day with approved timesheets attached.</v>
      </c>
    </row>
    <row r="87" customFormat="false" ht="15" hidden="false" customHeight="false" outlineLevel="0" collapsed="false">
      <c r="A87" s="14" t="str">
        <f aca="false">"4. Apply to reduce the November trade tax and December corporate income tax prepayments to the FY2026 outlook: the FY2025 notices set them on a stronger year."</f>
        <v>4. Apply to reduce the November trade tax and December corporate income tax prepayments to the FY2026 outlook: the FY2025 notices set them on a stronger year.</v>
      </c>
    </row>
    <row r="88" customFormat="false" ht="15" hidden="false" customHeight="false" outlineLevel="0" collapsed="false">
      <c r="A88" s="14" t="str">
        <f aca="false">"5. Move marketing events and external training into the first quarter of 2027 if the low point falls below the buffer."</f>
        <v>5. Move marketing events and external training into the first quarter of 2027 if the low point falls below the buffer.</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676</v>
      </c>
    </row>
    <row r="3" customFormat="false" ht="15" hidden="false" customHeight="false" outlineLevel="0" collapsed="false">
      <c r="A3" s="51" t="s">
        <v>677</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678</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679</v>
      </c>
      <c r="B9" s="60" t="s">
        <v>51</v>
      </c>
      <c r="C9" s="61" t="n">
        <f aca="false">SUM(E9:P9)</f>
        <v>2803976.01215524</v>
      </c>
      <c r="D9" s="61" t="n">
        <f aca="false">SUM(Q9:AB9)</f>
        <v>2976637.88064108</v>
      </c>
      <c r="E9" s="62" t="n">
        <f aca="false">Engagements!E583</f>
        <v>179600.47</v>
      </c>
      <c r="F9" s="62" t="n">
        <f aca="false">Engagements!F583</f>
        <v>174140.98</v>
      </c>
      <c r="G9" s="62" t="n">
        <f aca="false">Engagements!G583</f>
        <v>231936.67</v>
      </c>
      <c r="H9" s="62" t="n">
        <f aca="false">Engagements!H583</f>
        <v>200736.68</v>
      </c>
      <c r="I9" s="62" t="n">
        <f aca="false">Engagements!I583</f>
        <v>236921.74</v>
      </c>
      <c r="J9" s="62" t="n">
        <f aca="false">Engagements!J583</f>
        <v>305796.59</v>
      </c>
      <c r="K9" s="62" t="n">
        <f aca="false">Engagements!K583</f>
        <v>218257.96</v>
      </c>
      <c r="L9" s="62" t="n">
        <f aca="false">Engagements!L583</f>
        <v>203837.75</v>
      </c>
      <c r="M9" s="62" t="n">
        <f aca="false">Engagements!M583</f>
        <v>272926.820415398</v>
      </c>
      <c r="N9" s="62" t="n">
        <f aca="false">Engagements!N583</f>
        <v>251180.526276533</v>
      </c>
      <c r="O9" s="62" t="n">
        <f aca="false">Engagements!O583</f>
        <v>264604.253457491</v>
      </c>
      <c r="P9" s="62" t="n">
        <f aca="false">Engagements!P583</f>
        <v>264035.57200582</v>
      </c>
      <c r="Q9" s="62" t="n">
        <f aca="false">Engagements!Q583</f>
        <v>236364.243622644</v>
      </c>
      <c r="R9" s="62" t="n">
        <f aca="false">Engagements!R583</f>
        <v>243700.292659179</v>
      </c>
      <c r="S9" s="62" t="n">
        <f aca="false">Engagements!S583</f>
        <v>265197.373534681</v>
      </c>
      <c r="T9" s="62" t="n">
        <f aca="false">Engagements!T583</f>
        <v>265033.010145931</v>
      </c>
      <c r="U9" s="62" t="n">
        <f aca="false">Engagements!U583</f>
        <v>201999.452948092</v>
      </c>
      <c r="V9" s="62" t="n">
        <f aca="false">Engagements!V583</f>
        <v>273631.843312395</v>
      </c>
      <c r="W9" s="62" t="n">
        <f aca="false">Engagements!W583</f>
        <v>255423.02814909</v>
      </c>
      <c r="X9" s="62" t="n">
        <f aca="false">Engagements!X583</f>
        <v>216203.473853302</v>
      </c>
      <c r="Y9" s="62" t="n">
        <f aca="false">Engagements!Y583</f>
        <v>268256.742467848</v>
      </c>
      <c r="Z9" s="62" t="n">
        <f aca="false">Engagements!Z583</f>
        <v>238996.141138568</v>
      </c>
      <c r="AA9" s="62" t="n">
        <f aca="false">Engagements!AA583</f>
        <v>245868.132549372</v>
      </c>
      <c r="AB9" s="62" t="n">
        <f aca="false">Engagements!AB583</f>
        <v>265964.146259981</v>
      </c>
    </row>
    <row r="10" customFormat="false" ht="15" hidden="false" customHeight="false" outlineLevel="0" collapsed="false">
      <c r="A10" s="29" t="s">
        <v>680</v>
      </c>
      <c r="B10" s="60" t="s">
        <v>51</v>
      </c>
      <c r="C10" s="61" t="n">
        <f aca="false">SUM(E10:P10)</f>
        <v>164569.358634424</v>
      </c>
      <c r="D10" s="61" t="n">
        <f aca="false">SUM(Q10:AB10)</f>
        <v>213326.894824607</v>
      </c>
      <c r="E10" s="62" t="n">
        <f aca="false">Engagements!E584</f>
        <v>9771.5</v>
      </c>
      <c r="F10" s="62" t="n">
        <f aca="false">Engagements!F584</f>
        <v>11797.17</v>
      </c>
      <c r="G10" s="62" t="n">
        <f aca="false">Engagements!G584</f>
        <v>11438.06</v>
      </c>
      <c r="H10" s="62" t="n">
        <f aca="false">Engagements!H584</f>
        <v>11514.74</v>
      </c>
      <c r="I10" s="62" t="n">
        <f aca="false">Engagements!I584</f>
        <v>15346.75</v>
      </c>
      <c r="J10" s="62" t="n">
        <f aca="false">Engagements!J584</f>
        <v>20102.92</v>
      </c>
      <c r="K10" s="62" t="n">
        <f aca="false">Engagements!K584</f>
        <v>14142.81</v>
      </c>
      <c r="L10" s="62" t="n">
        <f aca="false">Engagements!L584</f>
        <v>9371.75</v>
      </c>
      <c r="M10" s="62" t="n">
        <f aca="false">Engagements!M584</f>
        <v>18298.238301921</v>
      </c>
      <c r="N10" s="62" t="n">
        <f aca="false">Engagements!N584</f>
        <v>11655.6180500181</v>
      </c>
      <c r="O10" s="62" t="n">
        <f aca="false">Engagements!O584</f>
        <v>14640.1421608437</v>
      </c>
      <c r="P10" s="62" t="n">
        <f aca="false">Engagements!P584</f>
        <v>16489.6601216414</v>
      </c>
      <c r="Q10" s="62" t="n">
        <f aca="false">Engagements!Q584</f>
        <v>18948.418638763</v>
      </c>
      <c r="R10" s="62" t="n">
        <f aca="false">Engagements!R584</f>
        <v>19538.4222372397</v>
      </c>
      <c r="S10" s="62" t="n">
        <f aca="false">Engagements!S584</f>
        <v>21086.1688055431</v>
      </c>
      <c r="T10" s="62" t="n">
        <f aca="false">Engagements!T584</f>
        <v>19944.3308245625</v>
      </c>
      <c r="U10" s="62" t="n">
        <f aca="false">Engagements!U584</f>
        <v>15200.8772157432</v>
      </c>
      <c r="V10" s="62" t="n">
        <f aca="false">Engagements!V584</f>
        <v>20591.3299844775</v>
      </c>
      <c r="W10" s="62" t="n">
        <f aca="false">Engagements!W584</f>
        <v>18719.3111804557</v>
      </c>
      <c r="X10" s="62" t="n">
        <f aca="false">Engagements!X584</f>
        <v>14343.158601705</v>
      </c>
      <c r="Y10" s="62" t="n">
        <f aca="false">Engagements!Y584</f>
        <v>18046.4431355148</v>
      </c>
      <c r="Z10" s="62" t="n">
        <f aca="false">Engagements!Z584</f>
        <v>14860.9203634979</v>
      </c>
      <c r="AA10" s="62" t="n">
        <f aca="false">Engagements!AA584</f>
        <v>15396.4278450631</v>
      </c>
      <c r="AB10" s="62" t="n">
        <f aca="false">Engagements!AB584</f>
        <v>16651.0859920416</v>
      </c>
    </row>
    <row r="11" customFormat="false" ht="15" hidden="false" customHeight="false" outlineLevel="0" collapsed="false">
      <c r="A11" s="68" t="s">
        <v>351</v>
      </c>
      <c r="B11" s="69"/>
      <c r="C11" s="70" t="n">
        <f aca="false">SUM(E11:P11)</f>
        <v>2968545.37078967</v>
      </c>
      <c r="D11" s="70" t="n">
        <f aca="false">SUM(Q11:AB11)</f>
        <v>3189964.77546569</v>
      </c>
      <c r="E11" s="70" t="n">
        <f aca="false">E9+E10</f>
        <v>189371.97</v>
      </c>
      <c r="F11" s="70" t="n">
        <f aca="false">F9+F10</f>
        <v>185938.15</v>
      </c>
      <c r="G11" s="70" t="n">
        <f aca="false">G9+G10</f>
        <v>243374.73</v>
      </c>
      <c r="H11" s="70" t="n">
        <f aca="false">H9+H10</f>
        <v>212251.42</v>
      </c>
      <c r="I11" s="70" t="n">
        <f aca="false">I9+I10</f>
        <v>252268.49</v>
      </c>
      <c r="J11" s="70" t="n">
        <f aca="false">J9+J10</f>
        <v>325899.51</v>
      </c>
      <c r="K11" s="70" t="n">
        <f aca="false">K9+K10</f>
        <v>232400.77</v>
      </c>
      <c r="L11" s="70" t="n">
        <f aca="false">L9+L10</f>
        <v>213209.5</v>
      </c>
      <c r="M11" s="70" t="n">
        <f aca="false">M9+M10</f>
        <v>291225.058717319</v>
      </c>
      <c r="N11" s="70" t="n">
        <f aca="false">N9+N10</f>
        <v>262836.144326552</v>
      </c>
      <c r="O11" s="70" t="n">
        <f aca="false">O9+O10</f>
        <v>279244.395618335</v>
      </c>
      <c r="P11" s="70" t="n">
        <f aca="false">P9+P10</f>
        <v>280525.232127461</v>
      </c>
      <c r="Q11" s="70" t="n">
        <f aca="false">Q9+Q10</f>
        <v>255312.662261407</v>
      </c>
      <c r="R11" s="70" t="n">
        <f aca="false">R9+R10</f>
        <v>263238.714896418</v>
      </c>
      <c r="S11" s="70" t="n">
        <f aca="false">S9+S10</f>
        <v>286283.542340224</v>
      </c>
      <c r="T11" s="70" t="n">
        <f aca="false">T9+T10</f>
        <v>284977.340970493</v>
      </c>
      <c r="U11" s="70" t="n">
        <f aca="false">U9+U10</f>
        <v>217200.330163835</v>
      </c>
      <c r="V11" s="70" t="n">
        <f aca="false">V9+V10</f>
        <v>294223.173296872</v>
      </c>
      <c r="W11" s="70" t="n">
        <f aca="false">W9+W10</f>
        <v>274142.339329546</v>
      </c>
      <c r="X11" s="70" t="n">
        <f aca="false">X9+X10</f>
        <v>230546.632455007</v>
      </c>
      <c r="Y11" s="70" t="n">
        <f aca="false">Y9+Y10</f>
        <v>286303.185603363</v>
      </c>
      <c r="Z11" s="70" t="n">
        <f aca="false">Z9+Z10</f>
        <v>253857.061502066</v>
      </c>
      <c r="AA11" s="70" t="n">
        <f aca="false">AA9+AA10</f>
        <v>261264.560394435</v>
      </c>
      <c r="AB11" s="70" t="n">
        <f aca="false">AB9+AB10</f>
        <v>282615.232252022</v>
      </c>
    </row>
    <row r="12" customFormat="false" ht="15" hidden="false" customHeight="false" outlineLevel="0" collapsed="false">
      <c r="A12" s="29" t="s">
        <v>499</v>
      </c>
      <c r="B12" s="60" t="s">
        <v>58</v>
      </c>
      <c r="C12" s="61" t="n">
        <f aca="false">SUM(E12:P12)</f>
        <v>-1478416.56504014</v>
      </c>
      <c r="D12" s="61" t="n">
        <f aca="false">SUM(Q12:AB12)</f>
        <v>-1683273.09423613</v>
      </c>
      <c r="E12" s="62" t="n">
        <f aca="false">-People!E59</f>
        <v>-123838.3</v>
      </c>
      <c r="F12" s="62" t="n">
        <f aca="false">-People!F59</f>
        <v>-124100.02</v>
      </c>
      <c r="G12" s="62" t="n">
        <f aca="false">-People!G59</f>
        <v>-124025.15</v>
      </c>
      <c r="H12" s="62" t="n">
        <f aca="false">-People!H59</f>
        <v>-115906.67</v>
      </c>
      <c r="I12" s="62" t="n">
        <f aca="false">-People!I59</f>
        <v>-115553.11</v>
      </c>
      <c r="J12" s="62" t="n">
        <f aca="false">-People!J59</f>
        <v>-115215.14</v>
      </c>
      <c r="K12" s="62" t="n">
        <f aca="false">-People!K59</f>
        <v>-123912.53</v>
      </c>
      <c r="L12" s="62" t="n">
        <f aca="false">-People!L59</f>
        <v>-124020.85</v>
      </c>
      <c r="M12" s="62" t="n">
        <f aca="false">-People!M59</f>
        <v>-129379.614675347</v>
      </c>
      <c r="N12" s="62" t="n">
        <f aca="false">-People!N59</f>
        <v>-128248.407873792</v>
      </c>
      <c r="O12" s="62" t="n">
        <f aca="false">-People!O59</f>
        <v>-127129.724369908</v>
      </c>
      <c r="P12" s="62" t="n">
        <f aca="false">-People!P59</f>
        <v>-127087.048121097</v>
      </c>
      <c r="Q12" s="62" t="n">
        <f aca="false">-People!Q59</f>
        <v>-138220.238551092</v>
      </c>
      <c r="R12" s="62" t="n">
        <f aca="false">-People!R59</f>
        <v>-138186.05765699</v>
      </c>
      <c r="S12" s="62" t="n">
        <f aca="false">-People!S59</f>
        <v>-138139.214253246</v>
      </c>
      <c r="T12" s="62" t="n">
        <f aca="false">-People!T59</f>
        <v>-138092.170739623</v>
      </c>
      <c r="U12" s="62" t="n">
        <f aca="false">-People!U59</f>
        <v>-138093.195023393</v>
      </c>
      <c r="V12" s="62" t="n">
        <f aca="false">-People!V59</f>
        <v>-138093.970029663</v>
      </c>
      <c r="W12" s="62" t="n">
        <f aca="false">-People!W59</f>
        <v>-138094.349268371</v>
      </c>
      <c r="X12" s="62" t="n">
        <f aca="false">-People!X59</f>
        <v>-138094.33161673</v>
      </c>
      <c r="Y12" s="62" t="n">
        <f aca="false">-People!Y59</f>
        <v>-144687.48876303</v>
      </c>
      <c r="Z12" s="62" t="n">
        <f aca="false">-People!Z59</f>
        <v>-144605.071212416</v>
      </c>
      <c r="AA12" s="62" t="n">
        <f aca="false">-People!AA59</f>
        <v>-144523.687057247</v>
      </c>
      <c r="AB12" s="62" t="n">
        <f aca="false">-People!AB59</f>
        <v>-144443.320064329</v>
      </c>
    </row>
    <row r="13" customFormat="false" ht="15" hidden="false" customHeight="false" outlineLevel="0" collapsed="false">
      <c r="A13" s="29" t="s">
        <v>500</v>
      </c>
      <c r="B13" s="60" t="s">
        <v>58</v>
      </c>
      <c r="C13" s="61" t="n">
        <f aca="false">SUM(E13:P13)</f>
        <v>-120945.45948089</v>
      </c>
      <c r="D13" s="61" t="n">
        <f aca="false">SUM(Q13:AB13)</f>
        <v>-151727.43727773</v>
      </c>
      <c r="E13" s="62" t="n">
        <f aca="false">-(People!E57+People!E58)</f>
        <v>-9459.0272</v>
      </c>
      <c r="F13" s="62" t="n">
        <f aca="false">-(People!F57+People!F58)</f>
        <v>-9459.0272</v>
      </c>
      <c r="G13" s="62" t="n">
        <f aca="false">-(People!G57+People!G58)</f>
        <v>-9459.0272</v>
      </c>
      <c r="H13" s="62" t="n">
        <f aca="false">-(People!H57+People!H58)</f>
        <v>-9028.42873333333</v>
      </c>
      <c r="I13" s="62" t="n">
        <f aca="false">-(People!I57+People!I58)</f>
        <v>-9028.42873333333</v>
      </c>
      <c r="J13" s="62" t="n">
        <f aca="false">-(People!J57+People!J58)</f>
        <v>-9028.42873333333</v>
      </c>
      <c r="K13" s="62" t="n">
        <f aca="false">-(People!K57+People!K58)</f>
        <v>-9459.0272</v>
      </c>
      <c r="L13" s="62" t="n">
        <f aca="false">-(People!L57+People!L58)</f>
        <v>-9459.0272</v>
      </c>
      <c r="M13" s="62" t="n">
        <f aca="false">-(People!M57+People!M58)</f>
        <v>-11736.4417675</v>
      </c>
      <c r="N13" s="62" t="n">
        <f aca="false">-(People!N57+People!N58)</f>
        <v>-11660.3169398507</v>
      </c>
      <c r="O13" s="62" t="n">
        <f aca="false">-(People!O57+People!O58)</f>
        <v>-11584.989489532</v>
      </c>
      <c r="P13" s="62" t="n">
        <f aca="false">-(People!P57+People!P58)</f>
        <v>-11583.2890840075</v>
      </c>
      <c r="Q13" s="62" t="n">
        <f aca="false">-(People!Q57+People!Q58)</f>
        <v>-12543.3353087163</v>
      </c>
      <c r="R13" s="62" t="n">
        <f aca="false">-(People!R57+People!R58)</f>
        <v>-12540.0365871329</v>
      </c>
      <c r="S13" s="62" t="n">
        <f aca="false">-(People!S57+People!S58)</f>
        <v>-12535.9429557512</v>
      </c>
      <c r="T13" s="62" t="n">
        <f aca="false">-(People!T57+People!T58)</f>
        <v>-12531.8580129427</v>
      </c>
      <c r="U13" s="62" t="n">
        <f aca="false">-(People!U57+People!U58)</f>
        <v>-12531.9513155014</v>
      </c>
      <c r="V13" s="62" t="n">
        <f aca="false">-(People!V57+People!V58)</f>
        <v>-12532.0187797665</v>
      </c>
      <c r="W13" s="62" t="n">
        <f aca="false">-(People!W57+People!W58)</f>
        <v>-12532.0516039888</v>
      </c>
      <c r="X13" s="62" t="n">
        <f aca="false">-(People!X57+People!X58)</f>
        <v>-12532.0500182662</v>
      </c>
      <c r="Y13" s="62" t="n">
        <f aca="false">-(People!Y57+People!Y58)</f>
        <v>-12868.3006927159</v>
      </c>
      <c r="Z13" s="62" t="n">
        <f aca="false">-(People!Z57+People!Z58)</f>
        <v>-12864.0972936643</v>
      </c>
      <c r="AA13" s="62" t="n">
        <f aca="false">-(People!AA57+People!AA58)</f>
        <v>-12859.9467111461</v>
      </c>
      <c r="AB13" s="62" t="n">
        <f aca="false">-(People!AB57+People!AB58)</f>
        <v>-12855.847998138</v>
      </c>
    </row>
    <row r="14" customFormat="false" ht="15" hidden="false" customHeight="false" outlineLevel="0" collapsed="false">
      <c r="A14" s="29" t="s">
        <v>357</v>
      </c>
      <c r="B14" s="60" t="s">
        <v>56</v>
      </c>
      <c r="C14" s="61" t="n">
        <f aca="false">SUM(E14:P14)</f>
        <v>-64155.491143718</v>
      </c>
      <c r="D14" s="61" t="n">
        <f aca="false">SUM(Q14:AB14)</f>
        <v>0</v>
      </c>
      <c r="E14" s="62" t="n">
        <f aca="false">-Capacity!E138</f>
        <v>-41.7708554627894</v>
      </c>
      <c r="F14" s="62" t="n">
        <f aca="false">-Capacity!F138</f>
        <v>-15.0812875653064</v>
      </c>
      <c r="G14" s="62" t="n">
        <f aca="false">-Capacity!G138</f>
        <v>-47.7370778760471</v>
      </c>
      <c r="H14" s="62" t="n">
        <f aca="false">-Capacity!H138</f>
        <v>-3310.80819273437</v>
      </c>
      <c r="I14" s="62" t="n">
        <f aca="false">-Capacity!I138</f>
        <v>-28016.4586024118</v>
      </c>
      <c r="J14" s="62" t="n">
        <f aca="false">-Capacity!J138</f>
        <v>-32662.9399030498</v>
      </c>
      <c r="K14" s="62" t="n">
        <f aca="false">-Capacity!K138</f>
        <v>-31.1247954924728</v>
      </c>
      <c r="L14" s="62" t="n">
        <f aca="false">-Capacity!L138</f>
        <v>-29.5704291254046</v>
      </c>
      <c r="M14" s="62" t="n">
        <f aca="false">-Capacity!M138</f>
        <v>-0</v>
      </c>
      <c r="N14" s="62" t="n">
        <f aca="false">-Capacity!N138</f>
        <v>-0</v>
      </c>
      <c r="O14" s="62" t="n">
        <f aca="false">-Capacity!O138</f>
        <v>-0</v>
      </c>
      <c r="P14" s="62" t="n">
        <f aca="false">-Capacity!P138</f>
        <v>-0</v>
      </c>
      <c r="Q14" s="62" t="n">
        <f aca="false">-Capacity!Q138</f>
        <v>-0</v>
      </c>
      <c r="R14" s="62" t="n">
        <f aca="false">-Capacity!R138</f>
        <v>-0</v>
      </c>
      <c r="S14" s="62" t="n">
        <f aca="false">-Capacity!S138</f>
        <v>-0</v>
      </c>
      <c r="T14" s="62" t="n">
        <f aca="false">-Capacity!T138</f>
        <v>-0</v>
      </c>
      <c r="U14" s="62" t="n">
        <f aca="false">-Capacity!U138</f>
        <v>-0</v>
      </c>
      <c r="V14" s="62" t="n">
        <f aca="false">-Capacity!V138</f>
        <v>-0</v>
      </c>
      <c r="W14" s="62" t="n">
        <f aca="false">-Capacity!W138</f>
        <v>-0</v>
      </c>
      <c r="X14" s="62" t="n">
        <f aca="false">-Capacity!X138</f>
        <v>-0</v>
      </c>
      <c r="Y14" s="62" t="n">
        <f aca="false">-Capacity!Y138</f>
        <v>-0</v>
      </c>
      <c r="Z14" s="62" t="n">
        <f aca="false">-Capacity!Z138</f>
        <v>-0</v>
      </c>
      <c r="AA14" s="62" t="n">
        <f aca="false">-Capacity!AA138</f>
        <v>-0</v>
      </c>
      <c r="AB14" s="62" t="n">
        <f aca="false">-Capacity!AB138</f>
        <v>-0</v>
      </c>
    </row>
    <row r="15" customFormat="false" ht="15" hidden="false" customHeight="false" outlineLevel="0" collapsed="false">
      <c r="A15" s="29" t="s">
        <v>358</v>
      </c>
      <c r="B15" s="60" t="s">
        <v>51</v>
      </c>
      <c r="C15" s="61" t="n">
        <f aca="false">SUM(E15:P15)</f>
        <v>-219200.268634424</v>
      </c>
      <c r="D15" s="61" t="n">
        <f aca="false">SUM(Q15:AB15)</f>
        <v>-213326.894824607</v>
      </c>
      <c r="E15" s="62" t="n">
        <f aca="false">-Engagements!E585</f>
        <v>-12007.16</v>
      </c>
      <c r="F15" s="62" t="n">
        <f aca="false">-Engagements!F585</f>
        <v>-14428.84</v>
      </c>
      <c r="G15" s="62" t="n">
        <f aca="false">-Engagements!G585</f>
        <v>-17385.12</v>
      </c>
      <c r="H15" s="62" t="n">
        <f aca="false">-Engagements!H585</f>
        <v>-15038.94</v>
      </c>
      <c r="I15" s="62" t="n">
        <f aca="false">-Engagements!I585</f>
        <v>-18845.22</v>
      </c>
      <c r="J15" s="62" t="n">
        <f aca="false">-Engagements!J585</f>
        <v>-25289.24</v>
      </c>
      <c r="K15" s="62" t="n">
        <f aca="false">-Engagements!K585</f>
        <v>-19354.46</v>
      </c>
      <c r="L15" s="62" t="n">
        <f aca="false">-Engagements!L585</f>
        <v>-15096.91</v>
      </c>
      <c r="M15" s="62" t="n">
        <f aca="false">-Engagements!M585</f>
        <v>-23870.597751544</v>
      </c>
      <c r="N15" s="62" t="n">
        <f aca="false">-Engagements!N585</f>
        <v>-19189.830851378</v>
      </c>
      <c r="O15" s="62" t="n">
        <f aca="false">-Engagements!O585</f>
        <v>-20002.8975047975</v>
      </c>
      <c r="P15" s="62" t="n">
        <f aca="false">-Engagements!P585</f>
        <v>-18691.0525267047</v>
      </c>
      <c r="Q15" s="62" t="n">
        <f aca="false">-Engagements!Q585</f>
        <v>-18948.418638763</v>
      </c>
      <c r="R15" s="62" t="n">
        <f aca="false">-Engagements!R585</f>
        <v>-19538.4222372397</v>
      </c>
      <c r="S15" s="62" t="n">
        <f aca="false">-Engagements!S585</f>
        <v>-21086.1688055431</v>
      </c>
      <c r="T15" s="62" t="n">
        <f aca="false">-Engagements!T585</f>
        <v>-19944.3308245625</v>
      </c>
      <c r="U15" s="62" t="n">
        <f aca="false">-Engagements!U585</f>
        <v>-15200.8772157432</v>
      </c>
      <c r="V15" s="62" t="n">
        <f aca="false">-Engagements!V585</f>
        <v>-20591.3299844775</v>
      </c>
      <c r="W15" s="62" t="n">
        <f aca="false">-Engagements!W585</f>
        <v>-18719.3111804557</v>
      </c>
      <c r="X15" s="62" t="n">
        <f aca="false">-Engagements!X585</f>
        <v>-14343.158601705</v>
      </c>
      <c r="Y15" s="62" t="n">
        <f aca="false">-Engagements!Y585</f>
        <v>-18046.4431355148</v>
      </c>
      <c r="Z15" s="62" t="n">
        <f aca="false">-Engagements!Z585</f>
        <v>-14860.9203634979</v>
      </c>
      <c r="AA15" s="62" t="n">
        <f aca="false">-Engagements!AA585</f>
        <v>-15396.4278450631</v>
      </c>
      <c r="AB15" s="62" t="n">
        <f aca="false">-Engagements!AB585</f>
        <v>-16651.0859920416</v>
      </c>
    </row>
    <row r="16" customFormat="false" ht="15" hidden="false" customHeight="false" outlineLevel="0" collapsed="false">
      <c r="A16" s="68" t="s">
        <v>681</v>
      </c>
      <c r="B16" s="69"/>
      <c r="C16" s="70" t="n">
        <f aca="false">SUM(E16:P16)</f>
        <v>1085827.58649049</v>
      </c>
      <c r="D16" s="70" t="n">
        <f aca="false">SUM(Q16:AB16)</f>
        <v>1141637.34912722</v>
      </c>
      <c r="E16" s="70" t="n">
        <f aca="false">E11+E12+E13+E14+E15</f>
        <v>44025.7119445372</v>
      </c>
      <c r="F16" s="70" t="n">
        <f aca="false">F11+F12+F13+F14+F15</f>
        <v>37935.1815124348</v>
      </c>
      <c r="G16" s="70" t="n">
        <f aca="false">G11+G12+G13+G14+G15</f>
        <v>92457.695722124</v>
      </c>
      <c r="H16" s="70" t="n">
        <f aca="false">H11+H12+H13+H14+H15</f>
        <v>68966.5730739323</v>
      </c>
      <c r="I16" s="70" t="n">
        <f aca="false">I11+I12+I13+I14+I15</f>
        <v>80825.2726642549</v>
      </c>
      <c r="J16" s="70" t="n">
        <f aca="false">J11+J12+J13+J14+J15</f>
        <v>143703.761363617</v>
      </c>
      <c r="K16" s="70" t="n">
        <f aca="false">K11+K12+K13+K14+K15</f>
        <v>79643.6280045075</v>
      </c>
      <c r="L16" s="70" t="n">
        <f aca="false">L11+L12+L13+L14+L15</f>
        <v>64603.1423708746</v>
      </c>
      <c r="M16" s="70" t="n">
        <f aca="false">M11+M12+M13+M14+M15</f>
        <v>126238.404522928</v>
      </c>
      <c r="N16" s="70" t="n">
        <f aca="false">N11+N12+N13+N14+N15</f>
        <v>103737.588661531</v>
      </c>
      <c r="O16" s="70" t="n">
        <f aca="false">O11+O12+O13+O14+O15</f>
        <v>120526.784254097</v>
      </c>
      <c r="P16" s="70" t="n">
        <f aca="false">P11+P12+P13+P14+P15</f>
        <v>123163.842395652</v>
      </c>
      <c r="Q16" s="70" t="n">
        <f aca="false">Q11+Q12+Q13+Q14+Q15</f>
        <v>85600.6697628353</v>
      </c>
      <c r="R16" s="70" t="n">
        <f aca="false">R11+R12+R13+R14+R15</f>
        <v>92974.1984150556</v>
      </c>
      <c r="S16" s="70" t="n">
        <f aca="false">S11+S12+S13+S14+S15</f>
        <v>114522.216325684</v>
      </c>
      <c r="T16" s="70" t="n">
        <f aca="false">T11+T12+T13+T14+T15</f>
        <v>114408.981393366</v>
      </c>
      <c r="U16" s="70" t="n">
        <f aca="false">U11+U12+U13+U14+U15</f>
        <v>51374.3066091972</v>
      </c>
      <c r="V16" s="70" t="n">
        <f aca="false">V11+V12+V13+V14+V15</f>
        <v>123005.854502965</v>
      </c>
      <c r="W16" s="70" t="n">
        <f aca="false">W11+W12+W13+W14+W15</f>
        <v>104796.627276731</v>
      </c>
      <c r="X16" s="70" t="n">
        <f aca="false">X11+X12+X13+X14+X15</f>
        <v>65577.0922183066</v>
      </c>
      <c r="Y16" s="70" t="n">
        <f aca="false">Y11+Y12+Y13+Y14+Y15</f>
        <v>110700.953012103</v>
      </c>
      <c r="Z16" s="70" t="n">
        <f aca="false">Z11+Z12+Z13+Z14+Z15</f>
        <v>81526.9726324882</v>
      </c>
      <c r="AA16" s="70" t="n">
        <f aca="false">AA11+AA12+AA13+AA14+AA15</f>
        <v>88484.4987809786</v>
      </c>
      <c r="AB16" s="70" t="n">
        <f aca="false">AB11+AB12+AB13+AB14+AB15</f>
        <v>108664.978197513</v>
      </c>
    </row>
    <row r="17" customFormat="false" ht="15" hidden="false" customHeight="false" outlineLevel="0" collapsed="false">
      <c r="A17" s="29" t="s">
        <v>682</v>
      </c>
      <c r="B17" s="60"/>
      <c r="C17" s="63" t="n">
        <f aca="false">IF(C11=0,0,C16/C11)</f>
        <v>0.365777662411691</v>
      </c>
      <c r="D17" s="63" t="n">
        <f aca="false">IF(D11=0,0,D16/D11)</f>
        <v>0.357883998565646</v>
      </c>
      <c r="E17" s="64" t="n">
        <f aca="false">IF(E11=0,0,E16/E11)</f>
        <v>0.23248272669148</v>
      </c>
      <c r="F17" s="64" t="n">
        <f aca="false">IF(F11=0,0,F16/F11)</f>
        <v>0.204020431054277</v>
      </c>
      <c r="G17" s="64" t="n">
        <f aca="false">IF(G11=0,0,G16/G11)</f>
        <v>0.379898503522218</v>
      </c>
      <c r="H17" s="64" t="n">
        <f aca="false">IF(H11=0,0,H16/H11)</f>
        <v>0.324928676915011</v>
      </c>
      <c r="I17" s="64" t="n">
        <f aca="false">IF(I11=0,0,I16/I11)</f>
        <v>0.32039384968077</v>
      </c>
      <c r="J17" s="64" t="n">
        <f aca="false">IF(J11=0,0,J16/J11)</f>
        <v>0.440945005911843</v>
      </c>
      <c r="K17" s="64" t="n">
        <f aca="false">IF(K11=0,0,K16/K11)</f>
        <v>0.342699501402287</v>
      </c>
      <c r="L17" s="64" t="n">
        <f aca="false">IF(L11=0,0,L16/L11)</f>
        <v>0.303003113702131</v>
      </c>
      <c r="M17" s="64" t="n">
        <f aca="false">IF(M11=0,0,M16/M11)</f>
        <v>0.433473702705861</v>
      </c>
      <c r="N17" s="64" t="n">
        <f aca="false">IF(N11=0,0,N16/N11)</f>
        <v>0.394685399633034</v>
      </c>
      <c r="O17" s="64" t="n">
        <f aca="false">IF(O11=0,0,O16/O11)</f>
        <v>0.431617558473154</v>
      </c>
      <c r="P17" s="64" t="n">
        <f aca="false">IF(P11=0,0,P16/P11)</f>
        <v>0.43904728805176</v>
      </c>
      <c r="Q17" s="64" t="n">
        <f aca="false">IF(Q11=0,0,Q16/Q11)</f>
        <v>0.335277808020315</v>
      </c>
      <c r="R17" s="64" t="n">
        <f aca="false">IF(R11=0,0,R16/R11)</f>
        <v>0.3531934823935</v>
      </c>
      <c r="S17" s="64" t="n">
        <f aca="false">IF(S11=0,0,S16/S11)</f>
        <v>0.400030736623988</v>
      </c>
      <c r="T17" s="64" t="n">
        <f aca="false">IF(T11=0,0,T16/T11)</f>
        <v>0.401466941209236</v>
      </c>
      <c r="U17" s="64" t="n">
        <f aca="false">IF(U11=0,0,U16/U11)</f>
        <v>0.236529597217672</v>
      </c>
      <c r="V17" s="64" t="n">
        <f aca="false">IF(V11=0,0,V16/V11)</f>
        <v>0.418069906338926</v>
      </c>
      <c r="W17" s="64" t="n">
        <f aca="false">IF(W11=0,0,W16/W11)</f>
        <v>0.382270858025891</v>
      </c>
      <c r="X17" s="64" t="n">
        <f aca="false">IF(X11=0,0,X16/X11)</f>
        <v>0.284441770066211</v>
      </c>
      <c r="Y17" s="64" t="n">
        <f aca="false">IF(Y11=0,0,Y16/Y11)</f>
        <v>0.386656378897107</v>
      </c>
      <c r="Z17" s="64" t="n">
        <f aca="false">IF(Z11=0,0,Z16/Z11)</f>
        <v>0.321153062081847</v>
      </c>
      <c r="AA17" s="64" t="n">
        <f aca="false">IF(AA11=0,0,AA16/AA11)</f>
        <v>0.338677770331316</v>
      </c>
      <c r="AB17" s="64" t="n">
        <f aca="false">IF(AB11=0,0,AB16/AB11)</f>
        <v>0.384497952681514</v>
      </c>
    </row>
    <row r="18" customFormat="false" ht="15" hidden="false" customHeight="false" outlineLevel="0" collapsed="false">
      <c r="A18" s="29" t="s">
        <v>683</v>
      </c>
      <c r="B18" s="60" t="s">
        <v>684</v>
      </c>
      <c r="C18" s="61" t="n">
        <f aca="false">SUM(E18:P18)</f>
        <v>-738356.567605201</v>
      </c>
      <c r="D18" s="61" t="n">
        <f aca="false">SUM(Q18:AB18)</f>
        <v>-726376.491256396</v>
      </c>
      <c r="E18" s="62" t="n">
        <f aca="false">IF(PL!E14=0,0,E11/PL!E14)*PL!E41</f>
        <v>-55062.8703075876</v>
      </c>
      <c r="F18" s="62" t="n">
        <f aca="false">IF(PL!F14=0,0,F11/PL!F14)*PL!F41</f>
        <v>-59080.2867825237</v>
      </c>
      <c r="G18" s="62" t="n">
        <f aca="false">IF(PL!G14=0,0,G11/PL!G14)*PL!G41</f>
        <v>-55536.0839475546</v>
      </c>
      <c r="H18" s="62" t="n">
        <f aca="false">IF(PL!H14=0,0,H11/PL!H14)*PL!H41</f>
        <v>-53994.275039292</v>
      </c>
      <c r="I18" s="62" t="n">
        <f aca="false">IF(PL!I14=0,0,I11/PL!I14)*PL!I41</f>
        <v>-63880.0598016971</v>
      </c>
      <c r="J18" s="62" t="n">
        <f aca="false">IF(PL!J14=0,0,J11/PL!J14)*PL!J41</f>
        <v>-63280.3919731643</v>
      </c>
      <c r="K18" s="62" t="n">
        <f aca="false">IF(PL!K14=0,0,K11/PL!K14)*PL!K41</f>
        <v>-102370.670307658</v>
      </c>
      <c r="L18" s="62" t="n">
        <f aca="false">IF(PL!L14=0,0,L11/PL!L14)*PL!L41</f>
        <v>-57849.2120993241</v>
      </c>
      <c r="M18" s="62" t="n">
        <f aca="false">IF(PL!M14=0,0,M11/PL!M14)*PL!M41</f>
        <v>-55960.5250672189</v>
      </c>
      <c r="N18" s="62" t="n">
        <f aca="false">IF(PL!N14=0,0,N11/PL!N14)*PL!N41</f>
        <v>-60931.8550508953</v>
      </c>
      <c r="O18" s="62" t="n">
        <f aca="false">IF(PL!O14=0,0,O11/PL!O14)*PL!O41</f>
        <v>-57028.0969907192</v>
      </c>
      <c r="P18" s="62" t="n">
        <f aca="false">IF(PL!P14=0,0,P11/PL!P14)*PL!P41</f>
        <v>-53382.2402375658</v>
      </c>
      <c r="Q18" s="62" t="n">
        <f aca="false">IF(PL!Q14=0,0,Q11/PL!Q14)*PL!Q41</f>
        <v>-66496.0966656571</v>
      </c>
      <c r="R18" s="62" t="n">
        <f aca="false">IF(PL!R14=0,0,R11/PL!R14)*PL!R41</f>
        <v>-54544.947395668</v>
      </c>
      <c r="S18" s="62" t="n">
        <f aca="false">IF(PL!S14=0,0,S11/PL!S14)*PL!S41</f>
        <v>-59759.4999165539</v>
      </c>
      <c r="T18" s="62" t="n">
        <f aca="false">IF(PL!T14=0,0,T11/PL!T14)*PL!T41</f>
        <v>-66260.9302378657</v>
      </c>
      <c r="U18" s="62" t="n">
        <f aca="false">IF(PL!U14=0,0,U11/PL!U14)*PL!U41</f>
        <v>-60559.1418409562</v>
      </c>
      <c r="V18" s="62" t="n">
        <f aca="false">IF(PL!V14=0,0,V11/PL!V14)*PL!V41</f>
        <v>-61159.9368982752</v>
      </c>
      <c r="W18" s="62" t="n">
        <f aca="false">IF(PL!W14=0,0,W11/PL!W14)*PL!W41</f>
        <v>-60748.7117545077</v>
      </c>
      <c r="X18" s="62" t="n">
        <f aca="false">IF(PL!X14=0,0,X11/PL!X14)*PL!X41</f>
        <v>-59332.8952238127</v>
      </c>
      <c r="Y18" s="62" t="n">
        <f aca="false">IF(PL!Y14=0,0,Y11/PL!Y14)*PL!Y41</f>
        <v>-61655.9988158553</v>
      </c>
      <c r="Z18" s="62" t="n">
        <f aca="false">IF(PL!Z14=0,0,Z11/PL!Z14)*PL!Z41</f>
        <v>-59158.0254574952</v>
      </c>
      <c r="AA18" s="62" t="n">
        <f aca="false">IF(PL!AA14=0,0,AA11/PL!AA14)*PL!AA41</f>
        <v>-58277.8327601683</v>
      </c>
      <c r="AB18" s="62" t="n">
        <f aca="false">IF(PL!AB14=0,0,AB11/PL!AB14)*PL!AB41</f>
        <v>-58422.4742895808</v>
      </c>
    </row>
    <row r="19" customFormat="false" ht="15" hidden="false" customHeight="false" outlineLevel="0" collapsed="false">
      <c r="A19" s="68" t="s">
        <v>685</v>
      </c>
      <c r="B19" s="69"/>
      <c r="C19" s="70" t="n">
        <f aca="false">SUM(E19:P19)</f>
        <v>347471.018885289</v>
      </c>
      <c r="D19" s="70" t="n">
        <f aca="false">SUM(Q19:AB19)</f>
        <v>415260.857870827</v>
      </c>
      <c r="E19" s="70" t="n">
        <f aca="false">E16+E18</f>
        <v>-11037.1583630504</v>
      </c>
      <c r="F19" s="70" t="n">
        <f aca="false">F16+F18</f>
        <v>-21145.1052700889</v>
      </c>
      <c r="G19" s="70" t="n">
        <f aca="false">G16+G18</f>
        <v>36921.6117745693</v>
      </c>
      <c r="H19" s="70" t="n">
        <f aca="false">H16+H18</f>
        <v>14972.2980346403</v>
      </c>
      <c r="I19" s="70" t="n">
        <f aca="false">I16+I18</f>
        <v>16945.2128625579</v>
      </c>
      <c r="J19" s="70" t="n">
        <f aca="false">J16+J18</f>
        <v>80423.3693904524</v>
      </c>
      <c r="K19" s="70" t="n">
        <f aca="false">K16+K18</f>
        <v>-22727.0423031507</v>
      </c>
      <c r="L19" s="70" t="n">
        <f aca="false">L16+L18</f>
        <v>6753.93027155047</v>
      </c>
      <c r="M19" s="70" t="n">
        <f aca="false">M16+M18</f>
        <v>70277.8794557092</v>
      </c>
      <c r="N19" s="70" t="n">
        <f aca="false">N16+N18</f>
        <v>42805.7336106356</v>
      </c>
      <c r="O19" s="70" t="n">
        <f aca="false">O16+O18</f>
        <v>63498.687263378</v>
      </c>
      <c r="P19" s="70" t="n">
        <f aca="false">P16+P18</f>
        <v>69781.6021580863</v>
      </c>
      <c r="Q19" s="70" t="n">
        <f aca="false">Q16+Q18</f>
        <v>19104.5730971781</v>
      </c>
      <c r="R19" s="70" t="n">
        <f aca="false">R16+R18</f>
        <v>38429.2510193876</v>
      </c>
      <c r="S19" s="70" t="n">
        <f aca="false">S16+S18</f>
        <v>54762.7164091305</v>
      </c>
      <c r="T19" s="70" t="n">
        <f aca="false">T16+T18</f>
        <v>48148.0511554999</v>
      </c>
      <c r="U19" s="70" t="n">
        <f aca="false">U16+U18</f>
        <v>-9184.83523175898</v>
      </c>
      <c r="V19" s="70" t="n">
        <f aca="false">V16+V18</f>
        <v>61845.9176046899</v>
      </c>
      <c r="W19" s="70" t="n">
        <f aca="false">W16+W18</f>
        <v>44047.9155222229</v>
      </c>
      <c r="X19" s="70" t="n">
        <f aca="false">X16+X18</f>
        <v>6244.19699449382</v>
      </c>
      <c r="Y19" s="70" t="n">
        <f aca="false">Y16+Y18</f>
        <v>49044.9541962473</v>
      </c>
      <c r="Z19" s="70" t="n">
        <f aca="false">Z16+Z18</f>
        <v>22368.9471749931</v>
      </c>
      <c r="AA19" s="70" t="n">
        <f aca="false">AA16+AA18</f>
        <v>30206.6660208104</v>
      </c>
      <c r="AB19" s="70" t="n">
        <f aca="false">AB16+AB18</f>
        <v>50242.5039079324</v>
      </c>
    </row>
    <row r="20" customFormat="false" ht="15" hidden="false" customHeight="false" outlineLevel="0" collapsed="false">
      <c r="A20" s="29" t="s">
        <v>686</v>
      </c>
      <c r="B20" s="60" t="s">
        <v>56</v>
      </c>
      <c r="C20" s="66" t="n">
        <f aca="false">SUM(E20:P20)</f>
        <v>16028.949252772</v>
      </c>
      <c r="D20" s="66" t="n">
        <f aca="false">SUM(Q20:AB20)</f>
        <v>16299.0915431737</v>
      </c>
      <c r="E20" s="67" t="n">
        <f aca="false">Capacity!E46</f>
        <v>986.3</v>
      </c>
      <c r="F20" s="67" t="n">
        <f aca="false">Capacity!F46</f>
        <v>1019.3</v>
      </c>
      <c r="G20" s="67" t="n">
        <f aca="false">Capacity!G46</f>
        <v>1420</v>
      </c>
      <c r="H20" s="67" t="n">
        <f aca="false">Capacity!H46</f>
        <v>1196.8</v>
      </c>
      <c r="I20" s="67" t="n">
        <f aca="false">Capacity!I46</f>
        <v>1381.8</v>
      </c>
      <c r="J20" s="67" t="n">
        <f aca="false">Capacity!J46</f>
        <v>1724.4</v>
      </c>
      <c r="K20" s="67" t="n">
        <f aca="false">Capacity!K46</f>
        <v>1303.1</v>
      </c>
      <c r="L20" s="67" t="n">
        <f aca="false">Capacity!L46</f>
        <v>1129.9</v>
      </c>
      <c r="M20" s="67" t="n">
        <f aca="false">Capacity!M46</f>
        <v>1579.23819961997</v>
      </c>
      <c r="N20" s="67" t="n">
        <f aca="false">Capacity!N46</f>
        <v>1364.71769299992</v>
      </c>
      <c r="O20" s="67" t="n">
        <f aca="false">Capacity!O46</f>
        <v>1458.59126788428</v>
      </c>
      <c r="P20" s="67" t="n">
        <f aca="false">Capacity!P46</f>
        <v>1464.80209226779</v>
      </c>
      <c r="Q20" s="67" t="n">
        <f aca="false">Capacity!Q46</f>
        <v>1283.68907375845</v>
      </c>
      <c r="R20" s="67" t="n">
        <f aca="false">Capacity!R46</f>
        <v>1323.61596508174</v>
      </c>
      <c r="S20" s="67" t="n">
        <f aca="false">Capacity!S46</f>
        <v>1440.68120464364</v>
      </c>
      <c r="T20" s="67" t="n">
        <f aca="false">Capacity!T46</f>
        <v>1439.94960074835</v>
      </c>
      <c r="U20" s="67" t="n">
        <f aca="false">Capacity!U46</f>
        <v>1097.48065376908</v>
      </c>
      <c r="V20" s="67" t="n">
        <f aca="false">Capacity!V46</f>
        <v>1486.66443746302</v>
      </c>
      <c r="W20" s="67" t="n">
        <f aca="false">Capacity!W46</f>
        <v>1394.2151989245</v>
      </c>
      <c r="X20" s="67" t="n">
        <f aca="false">Capacity!X46</f>
        <v>1185.35862842942</v>
      </c>
      <c r="Y20" s="67" t="n">
        <f aca="false">Capacity!Y46</f>
        <v>1497.78917966498</v>
      </c>
      <c r="Z20" s="67" t="n">
        <f aca="false">Capacity!Z46</f>
        <v>1321.09386396455</v>
      </c>
      <c r="AA20" s="67" t="n">
        <f aca="false">Capacity!AA46</f>
        <v>1358.90801809913</v>
      </c>
      <c r="AB20" s="67" t="n">
        <f aca="false">Capacity!AB46</f>
        <v>1469.6457186268</v>
      </c>
    </row>
    <row r="21" customFormat="false" ht="15" hidden="false" customHeight="false" outlineLevel="0" collapsed="false">
      <c r="A21" s="29" t="s">
        <v>687</v>
      </c>
      <c r="B21" s="60" t="s">
        <v>56</v>
      </c>
      <c r="C21" s="63" t="n">
        <f aca="false">Capacity!C49</f>
        <v>0.680348202978124</v>
      </c>
      <c r="D21" s="63" t="n">
        <f aca="false">Capacity!D49</f>
        <v>0.646971649323049</v>
      </c>
      <c r="E21" s="65" t="n">
        <f aca="false">Capacity!E49</f>
        <v>0.537037037037037</v>
      </c>
      <c r="F21" s="65" t="n">
        <f aca="false">Capacity!F49</f>
        <v>0.571941638608305</v>
      </c>
      <c r="G21" s="65" t="n">
        <f aca="false">Capacity!G49</f>
        <v>0.702960982372747</v>
      </c>
      <c r="H21" s="65" t="n">
        <f aca="false">Capacity!H49</f>
        <v>0.708727272727273</v>
      </c>
      <c r="I21" s="65" t="n">
        <f aca="false">Capacity!I49</f>
        <v>0.795815602836879</v>
      </c>
      <c r="J21" s="65" t="n">
        <f aca="false">Capacity!J49</f>
        <v>0.790441988950276</v>
      </c>
      <c r="K21" s="65" t="n">
        <f aca="false">Capacity!K49</f>
        <v>0.618660968660969</v>
      </c>
      <c r="L21" s="65" t="n">
        <f aca="false">Capacity!L49</f>
        <v>0.68817007797271</v>
      </c>
      <c r="M21" s="65" t="n">
        <f aca="false">Capacity!M49</f>
        <v>0.719187836349849</v>
      </c>
      <c r="N21" s="65" t="n">
        <f aca="false">Capacity!N49</f>
        <v>0.651494131069932</v>
      </c>
      <c r="O21" s="65" t="n">
        <f aca="false">Capacity!O49</f>
        <v>0.71088208362815</v>
      </c>
      <c r="P21" s="65" t="n">
        <f aca="false">Capacity!P49</f>
        <v>0.695206122799451</v>
      </c>
      <c r="Q21" s="65" t="n">
        <f aca="false">Capacity!Q49</f>
        <v>0.687491227247004</v>
      </c>
      <c r="R21" s="65" t="n">
        <f aca="false">Capacity!R49</f>
        <v>0.687511687676106</v>
      </c>
      <c r="S21" s="65" t="n">
        <f aca="false">Capacity!S49</f>
        <v>0.697779927952813</v>
      </c>
      <c r="T21" s="65" t="n">
        <f aca="false">Capacity!T49</f>
        <v>0.667456939603149</v>
      </c>
      <c r="U21" s="65" t="n">
        <f aca="false">Capacity!U49</f>
        <v>0.667456483575041</v>
      </c>
      <c r="V21" s="65" t="n">
        <f aca="false">Capacity!V49</f>
        <v>0.667456169322621</v>
      </c>
      <c r="W21" s="65" t="n">
        <f aca="false">Capacity!W49</f>
        <v>0.646249540246617</v>
      </c>
      <c r="X21" s="65" t="n">
        <f aca="false">Capacity!X49</f>
        <v>0.627446870425661</v>
      </c>
      <c r="Y21" s="65" t="n">
        <f aca="false">Capacity!Y49</f>
        <v>0.629279904683702</v>
      </c>
      <c r="Z21" s="65" t="n">
        <f aca="false">Capacity!Z49</f>
        <v>0.609760970474083</v>
      </c>
      <c r="AA21" s="65" t="n">
        <f aca="false">Capacity!AA49</f>
        <v>0.600120456963171</v>
      </c>
      <c r="AB21" s="65" t="n">
        <f aca="false">Capacity!AB49</f>
        <v>0.600076625363288</v>
      </c>
    </row>
    <row r="22" customFormat="false" ht="15" hidden="false" customHeight="false" outlineLevel="0" collapsed="false">
      <c r="A22" s="29" t="s">
        <v>688</v>
      </c>
      <c r="B22" s="60" t="s">
        <v>51</v>
      </c>
      <c r="C22" s="63" t="n">
        <f aca="false">IF(Engagements!C582=0,0,C9/Engagements!C582)</f>
        <v>0.877069063268658</v>
      </c>
      <c r="D22" s="63" t="n">
        <f aca="false">IF(Engagements!D582=0,0,D9/Engagements!D582)</f>
        <v>0.881603247952969</v>
      </c>
      <c r="E22" s="65" t="n">
        <f aca="false">IF(Engagements!E582=0,0,E9/Engagements!E582)</f>
        <v>0.915935403467724</v>
      </c>
      <c r="F22" s="65" t="n">
        <f aca="false">IF(Engagements!F582=0,0,F9/Engagements!F582)</f>
        <v>0.859522342420639</v>
      </c>
      <c r="G22" s="65" t="n">
        <f aca="false">IF(Engagements!G582=0,0,G9/Engagements!G582)</f>
        <v>0.81559614238655</v>
      </c>
      <c r="H22" s="65" t="n">
        <f aca="false">IF(Engagements!H582=0,0,H9/Engagements!H582)</f>
        <v>0.839074165785807</v>
      </c>
      <c r="I22" s="65" t="n">
        <f aca="false">IF(Engagements!I582=0,0,I9/Engagements!I582)</f>
        <v>0.861810538899355</v>
      </c>
      <c r="J22" s="65" t="n">
        <f aca="false">IF(Engagements!J582=0,0,J9/Engagements!J582)</f>
        <v>0.893187775400201</v>
      </c>
      <c r="K22" s="65" t="n">
        <f aca="false">IF(Engagements!K582=0,0,K9/Engagements!K582)</f>
        <v>0.839288804337979</v>
      </c>
      <c r="L22" s="65" t="n">
        <f aca="false">IF(Engagements!L582=0,0,L9/Engagements!L582)</f>
        <v>0.900625301717667</v>
      </c>
      <c r="M22" s="65" t="n">
        <f aca="false">IF(Engagements!M582=0,0,M9/Engagements!M582)</f>
        <v>0.868866827927376</v>
      </c>
      <c r="N22" s="65" t="n">
        <f aca="false">IF(Engagements!N582=0,0,N9/Engagements!N582)</f>
        <v>0.916922228985592</v>
      </c>
      <c r="O22" s="65" t="n">
        <f aca="false">IF(Engagements!O582=0,0,O9/Engagements!O582)</f>
        <v>0.909430935445384</v>
      </c>
      <c r="P22" s="65" t="n">
        <f aca="false">IF(Engagements!P582=0,0,P9/Engagements!P582)</f>
        <v>0.904184100436677</v>
      </c>
      <c r="Q22" s="65" t="n">
        <f aca="false">IF(Engagements!Q582=0,0,Q9/Engagements!Q582)</f>
        <v>0.883945653770617</v>
      </c>
      <c r="R22" s="65" t="n">
        <f aca="false">IF(Engagements!R582=0,0,R9/Engagements!R582)</f>
        <v>0.883945807907134</v>
      </c>
      <c r="S22" s="65" t="n">
        <f aca="false">IF(Engagements!S582=0,0,S9/Engagements!S582)</f>
        <v>0.884033238392007</v>
      </c>
      <c r="T22" s="65" t="n">
        <f aca="false">IF(Engagements!T582=0,0,T9/Engagements!T582)</f>
        <v>0.883272630838924</v>
      </c>
      <c r="U22" s="65" t="n">
        <f aca="false">IF(Engagements!U582=0,0,U9/Engagements!U582)</f>
        <v>0.883272630363946</v>
      </c>
      <c r="V22" s="65" t="n">
        <f aca="false">IF(Engagements!V582=0,0,V9/Engagements!V582)</f>
        <v>0.883272629997971</v>
      </c>
      <c r="W22" s="65" t="n">
        <f aca="false">IF(Engagements!W582=0,0,W9/Engagements!W582)</f>
        <v>0.878638912263959</v>
      </c>
      <c r="X22" s="65" t="n">
        <f aca="false">IF(Engagements!X582=0,0,X9/Engagements!X582)</f>
        <v>0.874273553391651</v>
      </c>
      <c r="Y22" s="65" t="n">
        <f aca="false">IF(Engagements!Y582=0,0,Y9/Engagements!Y582)</f>
        <v>0.874713522099351</v>
      </c>
      <c r="Z22" s="65" t="n">
        <f aca="false">IF(Engagements!Z582=0,0,Z9/Engagements!Z582)</f>
        <v>0.883306779757045</v>
      </c>
      <c r="AA22" s="65" t="n">
        <f aca="false">IF(Engagements!AA582=0,0,AA9/Engagements!AA582)</f>
        <v>0.8832</v>
      </c>
      <c r="AB22" s="65" t="n">
        <f aca="false">IF(Engagements!AB582=0,0,AB9/Engagements!AB582)</f>
        <v>0.8832</v>
      </c>
    </row>
    <row r="23" customFormat="false" ht="15" hidden="false" customHeight="false" outlineLevel="0" collapsed="false">
      <c r="A23" s="29" t="s">
        <v>318</v>
      </c>
      <c r="B23" s="60" t="s">
        <v>391</v>
      </c>
      <c r="C23" s="61" t="n">
        <f aca="false">AVERAGE(E23:P23)</f>
        <v>216349.827075485</v>
      </c>
      <c r="D23" s="61" t="n">
        <f aca="false">AVERAGE(Q23:AB23)</f>
        <v>206708.639480928</v>
      </c>
      <c r="E23" s="62" t="n">
        <f aca="false">IF(People!E60=0,0,E9*12/People!E60)</f>
        <v>165785.049230769</v>
      </c>
      <c r="F23" s="62" t="n">
        <f aca="false">IF(People!F60=0,0,F9*12/People!F60)</f>
        <v>160745.52</v>
      </c>
      <c r="G23" s="62" t="n">
        <f aca="false">IF(People!G60=0,0,G9*12/People!G60)</f>
        <v>214095.387692308</v>
      </c>
      <c r="H23" s="62" t="n">
        <f aca="false">IF(People!H60=0,0,H9*12/People!H60)</f>
        <v>200736.68</v>
      </c>
      <c r="I23" s="62" t="n">
        <f aca="false">IF(People!I60=0,0,I9*12/People!I60)</f>
        <v>236921.74</v>
      </c>
      <c r="J23" s="62" t="n">
        <f aca="false">IF(People!J60=0,0,J9*12/People!J60)</f>
        <v>305796.59</v>
      </c>
      <c r="K23" s="62" t="n">
        <f aca="false">IF(People!K60=0,0,K9*12/People!K60)</f>
        <v>201468.886153846</v>
      </c>
      <c r="L23" s="62" t="n">
        <f aca="false">IF(People!L60=0,0,L9*12/People!L60)</f>
        <v>188157.923076923</v>
      </c>
      <c r="M23" s="62" t="n">
        <f aca="false">IF(People!M60=0,0,M9*12/People!M60)</f>
        <v>236115.723279167</v>
      </c>
      <c r="N23" s="62" t="n">
        <f aca="false">IF(People!N60=0,0,N9*12/People!N60)</f>
        <v>219521.143734348</v>
      </c>
      <c r="O23" s="62" t="n">
        <f aca="false">IF(People!O60=0,0,O9*12/People!O60)</f>
        <v>233610.627323175</v>
      </c>
      <c r="P23" s="62" t="n">
        <f aca="false">IF(People!P60=0,0,P9*12/People!P60)</f>
        <v>233242.654415282</v>
      </c>
      <c r="Q23" s="62" t="n">
        <f aca="false">IF(People!Q60=0,0,Q9*12/People!Q60)</f>
        <v>201338.665081493</v>
      </c>
      <c r="R23" s="62" t="n">
        <f aca="false">IF(People!R60=0,0,R9*12/People!R60)</f>
        <v>207624.616802376</v>
      </c>
      <c r="S23" s="62" t="n">
        <f aca="false">IF(People!S60=0,0,S9*12/People!S60)</f>
        <v>226005.054657325</v>
      </c>
      <c r="T23" s="62" t="n">
        <f aca="false">IF(People!T60=0,0,T9*12/People!T60)</f>
        <v>225931.685317998</v>
      </c>
      <c r="U23" s="62" t="n">
        <f aca="false">IF(People!U60=0,0,U9*12/People!U60)</f>
        <v>172196.683795982</v>
      </c>
      <c r="V23" s="62" t="n">
        <f aca="false">IF(People!V60=0,0,V9*12/People!V60)</f>
        <v>233259.384207628</v>
      </c>
      <c r="W23" s="62" t="n">
        <f aca="false">IF(People!W60=0,0,W9*12/People!W60)</f>
        <v>217736.631070346</v>
      </c>
      <c r="X23" s="62" t="n">
        <f aca="false">IF(People!X60=0,0,X9*12/People!X60)</f>
        <v>184303.746217767</v>
      </c>
      <c r="Y23" s="62" t="n">
        <f aca="false">IF(People!Y60=0,0,Y9*12/People!Y60)</f>
        <v>213509.55622283</v>
      </c>
      <c r="Z23" s="62" t="n">
        <f aca="false">IF(People!Z60=0,0,Z9*12/People!Z60)</f>
        <v>190378.447650454</v>
      </c>
      <c r="AA23" s="62" t="n">
        <f aca="false">IF(People!AA60=0,0,AA9*12/People!AA60)</f>
        <v>196013.118681017</v>
      </c>
      <c r="AB23" s="62" t="n">
        <f aca="false">IF(People!AB60=0,0,AB9*12/People!AB60)</f>
        <v>212206.084065917</v>
      </c>
    </row>
    <row r="24" customFormat="false" ht="15" hidden="false" customHeight="false" outlineLevel="0" collapsed="false">
      <c r="A24" s="29" t="s">
        <v>331</v>
      </c>
      <c r="B24" s="60"/>
      <c r="C24" s="66" t="n">
        <f aca="false">P24</f>
        <v>6.29212571991344</v>
      </c>
      <c r="D24" s="66" t="n">
        <f aca="false">AB24</f>
        <v>7.01997702885933</v>
      </c>
      <c r="E24" s="67" t="n">
        <f aca="false">IF(People!E40+1=0,0,(People!E60-People!E40)/(People!E40+1))</f>
        <v>6</v>
      </c>
      <c r="F24" s="67" t="n">
        <f aca="false">IF(People!F40+1=0,0,(People!F60-People!F40)/(People!F40+1))</f>
        <v>6</v>
      </c>
      <c r="G24" s="67" t="n">
        <f aca="false">IF(People!G40+1=0,0,(People!G60-People!G40)/(People!G40+1))</f>
        <v>6</v>
      </c>
      <c r="H24" s="67" t="n">
        <f aca="false">IF(People!H40+1=0,0,(People!H60-People!H40)/(People!H40+1))</f>
        <v>5.5</v>
      </c>
      <c r="I24" s="67" t="n">
        <f aca="false">IF(People!I40+1=0,0,(People!I60-People!I40)/(People!I40+1))</f>
        <v>5.5</v>
      </c>
      <c r="J24" s="67" t="n">
        <f aca="false">IF(People!J40+1=0,0,(People!J60-People!J40)/(People!J40+1))</f>
        <v>5.5</v>
      </c>
      <c r="K24" s="67" t="n">
        <f aca="false">IF(People!K40+1=0,0,(People!K60-People!K40)/(People!K40+1))</f>
        <v>6</v>
      </c>
      <c r="L24" s="67" t="n">
        <f aca="false">IF(People!L40+1=0,0,(People!L60-People!L40)/(People!L40+1))</f>
        <v>6</v>
      </c>
      <c r="M24" s="67" t="n">
        <f aca="false">IF(People!M40+1=0,0,(People!M60-People!M40)/(People!M40+1))</f>
        <v>6.43541666666667</v>
      </c>
      <c r="N24" s="67" t="n">
        <f aca="false">IF(People!N40+1=0,0,(People!N60-People!N40)/(People!N40+1))</f>
        <v>6.36532118055556</v>
      </c>
      <c r="O24" s="67" t="n">
        <f aca="false">IF(People!O40+1=0,0,(People!O60-People!O40)/(People!O40+1))</f>
        <v>6.29603294994213</v>
      </c>
      <c r="P24" s="67" t="n">
        <f aca="false">IF(People!P40+1=0,0,(People!P60-People!P40)/(People!P40+1))</f>
        <v>6.29212571991344</v>
      </c>
      <c r="Q24" s="67" t="n">
        <f aca="false">IF(People!Q40+1=0,0,(People!Q60-People!Q40)/(People!Q40+1))</f>
        <v>6.54378099041158</v>
      </c>
      <c r="R24" s="67" t="n">
        <f aca="false">IF(People!R40+1=0,0,(People!R60-People!R40)/(People!R40+1))</f>
        <v>6.54252597054445</v>
      </c>
      <c r="S24" s="67" t="n">
        <f aca="false">IF(People!S40+1=0,0,(People!S60-People!S40)/(People!S40+1))</f>
        <v>6.54048076986899</v>
      </c>
      <c r="T24" s="67" t="n">
        <f aca="false">IF(People!T40+1=0,0,(People!T60-People!T40)/(People!T40+1))</f>
        <v>6.538402155224</v>
      </c>
      <c r="U24" s="67" t="n">
        <f aca="false">IF(People!U40+1=0,0,(People!U60-People!U40)/(People!U40+1))</f>
        <v>6.53844401048118</v>
      </c>
      <c r="V24" s="67" t="n">
        <f aca="false">IF(People!V40+1=0,0,(People!V60-People!V40)/(People!V40+1))</f>
        <v>6.53847806788764</v>
      </c>
      <c r="W24" s="67" t="n">
        <f aca="false">IF(People!W40+1=0,0,(People!W60-People!W40)/(People!W40+1))</f>
        <v>6.53849490717717</v>
      </c>
      <c r="X24" s="67" t="n">
        <f aca="false">IF(People!X40+1=0,0,(People!X60-People!X40)/(People!X40+1))</f>
        <v>6.53849416922357</v>
      </c>
      <c r="Y24" s="67" t="n">
        <f aca="false">IF(People!Y40+1=0,0,(People!Y60-People!Y40)/(People!Y40+1))</f>
        <v>7.03849374838888</v>
      </c>
      <c r="Z24" s="67" t="n">
        <f aca="false">IF(People!Z40+1=0,0,(People!Z60-People!Z40)/(People!Z40+1))</f>
        <v>7.03224361543421</v>
      </c>
      <c r="AA24" s="67" t="n">
        <f aca="false">IF(People!AA40+1=0,0,(People!AA60-People!AA40)/(People!AA40+1))</f>
        <v>7.02607175082461</v>
      </c>
      <c r="AB24" s="67" t="n">
        <f aca="false">IF(People!AB40+1=0,0,(People!AB60-People!AB40)/(People!AB40+1))</f>
        <v>7.01997702885933</v>
      </c>
    </row>
    <row r="25" customFormat="false" ht="15" hidden="false" customHeight="false" outlineLevel="0" collapsed="false">
      <c r="A25" s="23" t="s">
        <v>689</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row>
    <row r="26" customFormat="false" ht="15" hidden="false" customHeight="false" outlineLevel="0" collapsed="false">
      <c r="A26" s="29" t="s">
        <v>679</v>
      </c>
      <c r="B26" s="60" t="s">
        <v>51</v>
      </c>
      <c r="C26" s="61" t="n">
        <f aca="false">SUM(E26:P26)</f>
        <v>2228712.7672907</v>
      </c>
      <c r="D26" s="61" t="n">
        <f aca="false">SUM(Q26:AB26)</f>
        <v>2285595.49988326</v>
      </c>
      <c r="E26" s="62" t="n">
        <f aca="false">Engagements!E588</f>
        <v>127787.79</v>
      </c>
      <c r="F26" s="62" t="n">
        <f aca="false">Engagements!F588</f>
        <v>185485.46</v>
      </c>
      <c r="G26" s="62" t="n">
        <f aca="false">Engagements!G588</f>
        <v>195985.56</v>
      </c>
      <c r="H26" s="62" t="n">
        <f aca="false">Engagements!H588</f>
        <v>207813.63</v>
      </c>
      <c r="I26" s="62" t="n">
        <f aca="false">Engagements!I588</f>
        <v>182238.72</v>
      </c>
      <c r="J26" s="62" t="n">
        <f aca="false">Engagements!J588</f>
        <v>235602.52</v>
      </c>
      <c r="K26" s="62" t="n">
        <f aca="false">Engagements!K588</f>
        <v>156486.04</v>
      </c>
      <c r="L26" s="62" t="n">
        <f aca="false">Engagements!L588</f>
        <v>121634.4</v>
      </c>
      <c r="M26" s="62" t="n">
        <f aca="false">Engagements!M588</f>
        <v>219281.811643199</v>
      </c>
      <c r="N26" s="62" t="n">
        <f aca="false">Engagements!N588</f>
        <v>181122.497778687</v>
      </c>
      <c r="O26" s="62" t="n">
        <f aca="false">Engagements!O588</f>
        <v>186078.282846543</v>
      </c>
      <c r="P26" s="62" t="n">
        <f aca="false">Engagements!P588</f>
        <v>229196.055022266</v>
      </c>
      <c r="Q26" s="62" t="n">
        <f aca="false">Engagements!Q588</f>
        <v>218556.88610897</v>
      </c>
      <c r="R26" s="62" t="n">
        <f aca="false">Engagements!R588</f>
        <v>240270.148320449</v>
      </c>
      <c r="S26" s="62" t="n">
        <f aca="false">Engagements!S588</f>
        <v>198046.364594348</v>
      </c>
      <c r="T26" s="62" t="n">
        <f aca="false">Engagements!T588</f>
        <v>200939.642905643</v>
      </c>
      <c r="U26" s="62" t="n">
        <f aca="false">Engagements!U588</f>
        <v>146061.502284179</v>
      </c>
      <c r="V26" s="62" t="n">
        <f aca="false">Engagements!V588</f>
        <v>188925.588804109</v>
      </c>
      <c r="W26" s="62" t="n">
        <f aca="false">Engagements!W588</f>
        <v>180302.137225837</v>
      </c>
      <c r="X26" s="62" t="n">
        <f aca="false">Engagements!X588</f>
        <v>154037.470122496</v>
      </c>
      <c r="Y26" s="62" t="n">
        <f aca="false">Engagements!Y588</f>
        <v>194962.178600967</v>
      </c>
      <c r="Z26" s="62" t="n">
        <f aca="false">Engagements!Z588</f>
        <v>177457.47426999</v>
      </c>
      <c r="AA26" s="62" t="n">
        <f aca="false">Engagements!AA588</f>
        <v>185459.415986071</v>
      </c>
      <c r="AB26" s="62" t="n">
        <f aca="false">Engagements!AB588</f>
        <v>200576.690660201</v>
      </c>
    </row>
    <row r="27" customFormat="false" ht="15" hidden="false" customHeight="false" outlineLevel="0" collapsed="false">
      <c r="A27" s="29" t="s">
        <v>680</v>
      </c>
      <c r="B27" s="60" t="s">
        <v>51</v>
      </c>
      <c r="C27" s="61" t="n">
        <f aca="false">SUM(E27:P27)</f>
        <v>128886.400936997</v>
      </c>
      <c r="D27" s="61" t="n">
        <f aca="false">SUM(Q27:AB27)</f>
        <v>129646.148392345</v>
      </c>
      <c r="E27" s="62" t="n">
        <f aca="false">Engagements!E589</f>
        <v>4802.24</v>
      </c>
      <c r="F27" s="62" t="n">
        <f aca="false">Engagements!F589</f>
        <v>11427.19</v>
      </c>
      <c r="G27" s="62" t="n">
        <f aca="false">Engagements!G589</f>
        <v>10364.88</v>
      </c>
      <c r="H27" s="62" t="n">
        <f aca="false">Engagements!H589</f>
        <v>9468.35</v>
      </c>
      <c r="I27" s="62" t="n">
        <f aca="false">Engagements!I589</f>
        <v>7778.97</v>
      </c>
      <c r="J27" s="62" t="n">
        <f aca="false">Engagements!J589</f>
        <v>13098.33</v>
      </c>
      <c r="K27" s="62" t="n">
        <f aca="false">Engagements!K589</f>
        <v>10289.04</v>
      </c>
      <c r="L27" s="62" t="n">
        <f aca="false">Engagements!L589</f>
        <v>9464.85</v>
      </c>
      <c r="M27" s="62" t="n">
        <f aca="false">Engagements!M589</f>
        <v>14656.3996391643</v>
      </c>
      <c r="N27" s="62" t="n">
        <f aca="false">Engagements!N589</f>
        <v>14119.2541026505</v>
      </c>
      <c r="O27" s="62" t="n">
        <f aca="false">Engagements!O589</f>
        <v>10059.5218873657</v>
      </c>
      <c r="P27" s="62" t="n">
        <f aca="false">Engagements!P589</f>
        <v>13357.3753078168</v>
      </c>
      <c r="Q27" s="62" t="n">
        <f aca="false">Engagements!Q589</f>
        <v>11966.5653311737</v>
      </c>
      <c r="R27" s="62" t="n">
        <f aca="false">Engagements!R589</f>
        <v>12106.2849416033</v>
      </c>
      <c r="S27" s="62" t="n">
        <f aca="false">Engagements!S589</f>
        <v>9747.01260332442</v>
      </c>
      <c r="T27" s="62" t="n">
        <f aca="false">Engagements!T589</f>
        <v>11508.0353464377</v>
      </c>
      <c r="U27" s="62" t="n">
        <f aca="false">Engagements!U589</f>
        <v>8734.84091551209</v>
      </c>
      <c r="V27" s="62" t="n">
        <f aca="false">Engagements!V589</f>
        <v>9069.50975170139</v>
      </c>
      <c r="W27" s="62" t="n">
        <f aca="false">Engagements!W589</f>
        <v>9691.8841015835</v>
      </c>
      <c r="X27" s="62" t="n">
        <f aca="false">Engagements!X589</f>
        <v>9384.09653054832</v>
      </c>
      <c r="Y27" s="62" t="n">
        <f aca="false">Engagements!Y589</f>
        <v>12199.6424394539</v>
      </c>
      <c r="Z27" s="62" t="n">
        <f aca="false">Engagements!Z589</f>
        <v>11100.8762363085</v>
      </c>
      <c r="AA27" s="62" t="n">
        <f aca="false">Engagements!AA589</f>
        <v>11597.9035727688</v>
      </c>
      <c r="AB27" s="62" t="n">
        <f aca="false">Engagements!AB589</f>
        <v>12539.4966219289</v>
      </c>
    </row>
    <row r="28" customFormat="false" ht="15" hidden="false" customHeight="false" outlineLevel="0" collapsed="false">
      <c r="A28" s="68" t="s">
        <v>351</v>
      </c>
      <c r="B28" s="69"/>
      <c r="C28" s="70" t="n">
        <f aca="false">SUM(E28:P28)</f>
        <v>2357599.16822769</v>
      </c>
      <c r="D28" s="70" t="n">
        <f aca="false">SUM(Q28:AB28)</f>
        <v>2415241.6482756</v>
      </c>
      <c r="E28" s="70" t="n">
        <f aca="false">E26+E27</f>
        <v>132590.03</v>
      </c>
      <c r="F28" s="70" t="n">
        <f aca="false">F26+F27</f>
        <v>196912.65</v>
      </c>
      <c r="G28" s="70" t="n">
        <f aca="false">G26+G27</f>
        <v>206350.44</v>
      </c>
      <c r="H28" s="70" t="n">
        <f aca="false">H26+H27</f>
        <v>217281.98</v>
      </c>
      <c r="I28" s="70" t="n">
        <f aca="false">I26+I27</f>
        <v>190017.69</v>
      </c>
      <c r="J28" s="70" t="n">
        <f aca="false">J26+J27</f>
        <v>248700.85</v>
      </c>
      <c r="K28" s="70" t="n">
        <f aca="false">K26+K27</f>
        <v>166775.08</v>
      </c>
      <c r="L28" s="70" t="n">
        <f aca="false">L26+L27</f>
        <v>131099.25</v>
      </c>
      <c r="M28" s="70" t="n">
        <f aca="false">M26+M27</f>
        <v>233938.211282363</v>
      </c>
      <c r="N28" s="70" t="n">
        <f aca="false">N26+N27</f>
        <v>195241.751881337</v>
      </c>
      <c r="O28" s="70" t="n">
        <f aca="false">O26+O27</f>
        <v>196137.804733909</v>
      </c>
      <c r="P28" s="70" t="n">
        <f aca="false">P26+P27</f>
        <v>242553.430330083</v>
      </c>
      <c r="Q28" s="70" t="n">
        <f aca="false">Q26+Q27</f>
        <v>230523.451440144</v>
      </c>
      <c r="R28" s="70" t="n">
        <f aca="false">R26+R27</f>
        <v>252376.433262052</v>
      </c>
      <c r="S28" s="70" t="n">
        <f aca="false">S26+S27</f>
        <v>207793.377197673</v>
      </c>
      <c r="T28" s="70" t="n">
        <f aca="false">T26+T27</f>
        <v>212447.67825208</v>
      </c>
      <c r="U28" s="70" t="n">
        <f aca="false">U26+U27</f>
        <v>154796.343199691</v>
      </c>
      <c r="V28" s="70" t="n">
        <f aca="false">V26+V27</f>
        <v>197995.098555811</v>
      </c>
      <c r="W28" s="70" t="n">
        <f aca="false">W26+W27</f>
        <v>189994.021327421</v>
      </c>
      <c r="X28" s="70" t="n">
        <f aca="false">X26+X27</f>
        <v>163421.566653044</v>
      </c>
      <c r="Y28" s="70" t="n">
        <f aca="false">Y26+Y27</f>
        <v>207161.821040421</v>
      </c>
      <c r="Z28" s="70" t="n">
        <f aca="false">Z26+Z27</f>
        <v>188558.350506299</v>
      </c>
      <c r="AA28" s="70" t="n">
        <f aca="false">AA26+AA27</f>
        <v>197057.31955884</v>
      </c>
      <c r="AB28" s="70" t="n">
        <f aca="false">AB26+AB27</f>
        <v>213116.18728213</v>
      </c>
    </row>
    <row r="29" customFormat="false" ht="15" hidden="false" customHeight="false" outlineLevel="0" collapsed="false">
      <c r="A29" s="29" t="s">
        <v>499</v>
      </c>
      <c r="B29" s="60" t="s">
        <v>58</v>
      </c>
      <c r="C29" s="61" t="n">
        <f aca="false">SUM(E29:P29)</f>
        <v>-1152525.52675881</v>
      </c>
      <c r="D29" s="61" t="n">
        <f aca="false">SUM(Q29:AB29)</f>
        <v>-1331466.38358547</v>
      </c>
      <c r="E29" s="62" t="n">
        <f aca="false">-People!E83</f>
        <v>-81115</v>
      </c>
      <c r="F29" s="62" t="n">
        <f aca="false">-People!F83</f>
        <v>-91821.6</v>
      </c>
      <c r="G29" s="62" t="n">
        <f aca="false">-People!G83</f>
        <v>-98735.33</v>
      </c>
      <c r="H29" s="62" t="n">
        <f aca="false">-People!H83</f>
        <v>-98962.23</v>
      </c>
      <c r="I29" s="62" t="n">
        <f aca="false">-People!I83</f>
        <v>-98462.73</v>
      </c>
      <c r="J29" s="62" t="n">
        <f aca="false">-People!J83</f>
        <v>-98426.76</v>
      </c>
      <c r="K29" s="62" t="n">
        <f aca="false">-People!K83</f>
        <v>-98695.97</v>
      </c>
      <c r="L29" s="62" t="n">
        <f aca="false">-People!L83</f>
        <v>-99044.09</v>
      </c>
      <c r="M29" s="62" t="n">
        <f aca="false">-People!M83</f>
        <v>-97781.3330729167</v>
      </c>
      <c r="N29" s="62" t="n">
        <f aca="false">-People!N83</f>
        <v>-97000.1061930266</v>
      </c>
      <c r="O29" s="62" t="n">
        <f aca="false">-People!O83</f>
        <v>-96227.4028501073</v>
      </c>
      <c r="P29" s="62" t="n">
        <f aca="false">-People!P83</f>
        <v>-96252.9746427617</v>
      </c>
      <c r="Q29" s="62" t="n">
        <f aca="false">-People!Q83</f>
        <v>-109054.866368155</v>
      </c>
      <c r="R29" s="62" t="n">
        <f aca="false">-People!R83</f>
        <v>-108954.776332858</v>
      </c>
      <c r="S29" s="62" t="n">
        <f aca="false">-People!S83</f>
        <v>-108847.161069053</v>
      </c>
      <c r="T29" s="62" t="n">
        <f aca="false">-People!T83</f>
        <v>-108741.19791815</v>
      </c>
      <c r="U29" s="62" t="n">
        <f aca="false">-People!U83</f>
        <v>-108745.12650035</v>
      </c>
      <c r="V29" s="62" t="n">
        <f aca="false">-People!V83</f>
        <v>-108747.746510463</v>
      </c>
      <c r="W29" s="62" t="n">
        <f aca="false">-People!W83</f>
        <v>-108748.988959131</v>
      </c>
      <c r="X29" s="62" t="n">
        <f aca="false">-People!X83</f>
        <v>-108748.891521627</v>
      </c>
      <c r="Y29" s="62" t="n">
        <f aca="false">-People!Y83</f>
        <v>-115342.011132452</v>
      </c>
      <c r="Z29" s="62" t="n">
        <f aca="false">-People!Z83</f>
        <v>-115259.582826804</v>
      </c>
      <c r="AA29" s="62" t="n">
        <f aca="false">-People!AA83</f>
        <v>-115178.200403765</v>
      </c>
      <c r="AB29" s="62" t="n">
        <f aca="false">-People!AB83</f>
        <v>-115097.834042663</v>
      </c>
    </row>
    <row r="30" customFormat="false" ht="15" hidden="false" customHeight="false" outlineLevel="0" collapsed="false">
      <c r="A30" s="29" t="s">
        <v>500</v>
      </c>
      <c r="B30" s="60" t="s">
        <v>58</v>
      </c>
      <c r="C30" s="61" t="n">
        <f aca="false">SUM(E30:P30)</f>
        <v>-100776.48524261</v>
      </c>
      <c r="D30" s="61" t="n">
        <f aca="false">SUM(Q30:AB30)</f>
        <v>-126576.963688825</v>
      </c>
      <c r="E30" s="62" t="n">
        <f aca="false">-(People!E81+People!E82)</f>
        <v>-6927.90373333333</v>
      </c>
      <c r="F30" s="62" t="n">
        <f aca="false">-(People!F81+People!F82)</f>
        <v>-7711.90373333333</v>
      </c>
      <c r="G30" s="62" t="n">
        <f aca="false">-(People!G81+People!G82)</f>
        <v>-7978.16623333333</v>
      </c>
      <c r="H30" s="62" t="n">
        <f aca="false">-(People!H81+People!H82)</f>
        <v>-7978.16623333333</v>
      </c>
      <c r="I30" s="62" t="n">
        <f aca="false">-(People!I81+People!I82)</f>
        <v>-7978.16623333333</v>
      </c>
      <c r="J30" s="62" t="n">
        <f aca="false">-(People!J81+People!J82)</f>
        <v>-7978.16623333333</v>
      </c>
      <c r="K30" s="62" t="n">
        <f aca="false">-(People!K81+People!K82)</f>
        <v>-7978.16623333333</v>
      </c>
      <c r="L30" s="62" t="n">
        <f aca="false">-(People!L81+People!L82)</f>
        <v>-7978.16623333333</v>
      </c>
      <c r="M30" s="62" t="n">
        <f aca="false">-(People!M81+People!M82)</f>
        <v>-9633.445388125</v>
      </c>
      <c r="N30" s="62" t="n">
        <f aca="false">-(People!N81+People!N82)</f>
        <v>-9579.67440410677</v>
      </c>
      <c r="O30" s="62" t="n">
        <f aca="false">-(People!O81+People!O82)</f>
        <v>-9526.45415446632</v>
      </c>
      <c r="P30" s="62" t="n">
        <f aca="false">-(People!P81+People!P82)</f>
        <v>-9528.1064292452</v>
      </c>
      <c r="Q30" s="62" t="n">
        <f aca="false">-(People!Q81+People!Q82)</f>
        <v>-10454.1351648729</v>
      </c>
      <c r="R30" s="62" t="n">
        <f aca="false">-(People!R81+People!R82)</f>
        <v>-10447.8728216378</v>
      </c>
      <c r="S30" s="62" t="n">
        <f aca="false">-(People!S81+People!S82)</f>
        <v>-10441.1231192024</v>
      </c>
      <c r="T30" s="62" t="n">
        <f aca="false">-(People!T81+People!T82)</f>
        <v>-10434.476803031</v>
      </c>
      <c r="U30" s="62" t="n">
        <f aca="false">-(People!U81+People!U82)</f>
        <v>-10434.7232578827</v>
      </c>
      <c r="V30" s="62" t="n">
        <f aca="false">-(People!V81+People!V82)</f>
        <v>-10434.887571771</v>
      </c>
      <c r="W30" s="62" t="n">
        <f aca="false">-(People!W81+People!W82)</f>
        <v>-10434.965494902</v>
      </c>
      <c r="X30" s="62" t="n">
        <f aca="false">-(People!X81+People!X82)</f>
        <v>-10434.9593817382</v>
      </c>
      <c r="Y30" s="62" t="n">
        <f aca="false">-(People!Y81+People!Y82)</f>
        <v>-10771.2079308071</v>
      </c>
      <c r="Z30" s="62" t="n">
        <f aca="false">-(People!Z81+People!Z82)</f>
        <v>-10767.0039265089</v>
      </c>
      <c r="AA30" s="62" t="n">
        <f aca="false">-(People!AA81+People!AA82)</f>
        <v>-10762.8534461414</v>
      </c>
      <c r="AB30" s="62" t="n">
        <f aca="false">-(People!AB81+People!AB82)</f>
        <v>-10758.7547703297</v>
      </c>
    </row>
    <row r="31" customFormat="false" ht="15" hidden="false" customHeight="false" outlineLevel="0" collapsed="false">
      <c r="A31" s="29" t="s">
        <v>357</v>
      </c>
      <c r="B31" s="60" t="s">
        <v>56</v>
      </c>
      <c r="C31" s="61" t="n">
        <f aca="false">SUM(E31:P31)</f>
        <v>-69770.2410510591</v>
      </c>
      <c r="D31" s="61" t="n">
        <f aca="false">SUM(Q31:AB31)</f>
        <v>-25585.5877262304</v>
      </c>
      <c r="E31" s="62" t="n">
        <f aca="false">-Capacity!E139</f>
        <v>-6839.70389705669</v>
      </c>
      <c r="F31" s="62" t="n">
        <f aca="false">-Capacity!F139</f>
        <v>-8605.06105522406</v>
      </c>
      <c r="G31" s="62" t="n">
        <f aca="false">-Capacity!G139</f>
        <v>-425.060666342539</v>
      </c>
      <c r="H31" s="62" t="n">
        <f aca="false">-Capacity!H139</f>
        <v>-12778.848427219</v>
      </c>
      <c r="I31" s="62" t="n">
        <f aca="false">-Capacity!I139</f>
        <v>-8833.91989176791</v>
      </c>
      <c r="J31" s="62" t="n">
        <f aca="false">-Capacity!J139</f>
        <v>-15979.6281386501</v>
      </c>
      <c r="K31" s="62" t="n">
        <f aca="false">-Capacity!K139</f>
        <v>-47.566199016417</v>
      </c>
      <c r="L31" s="62" t="n">
        <f aca="false">-Capacity!L139</f>
        <v>-29.3491538054186</v>
      </c>
      <c r="M31" s="62" t="n">
        <f aca="false">-Capacity!M139</f>
        <v>-5015.32997338323</v>
      </c>
      <c r="N31" s="62" t="n">
        <f aca="false">-Capacity!N139</f>
        <v>-0</v>
      </c>
      <c r="O31" s="62" t="n">
        <f aca="false">-Capacity!O139</f>
        <v>-0</v>
      </c>
      <c r="P31" s="62" t="n">
        <f aca="false">-Capacity!P139</f>
        <v>-11215.7736485937</v>
      </c>
      <c r="Q31" s="62" t="n">
        <f aca="false">-Capacity!Q139</f>
        <v>-10393.6139395008</v>
      </c>
      <c r="R31" s="62" t="n">
        <f aca="false">-Capacity!R139</f>
        <v>-15191.9737867296</v>
      </c>
      <c r="S31" s="62" t="n">
        <f aca="false">-Capacity!S139</f>
        <v>-0</v>
      </c>
      <c r="T31" s="62" t="n">
        <f aca="false">-Capacity!T139</f>
        <v>-0</v>
      </c>
      <c r="U31" s="62" t="n">
        <f aca="false">-Capacity!U139</f>
        <v>-0</v>
      </c>
      <c r="V31" s="62" t="n">
        <f aca="false">-Capacity!V139</f>
        <v>-0</v>
      </c>
      <c r="W31" s="62" t="n">
        <f aca="false">-Capacity!W139</f>
        <v>-0</v>
      </c>
      <c r="X31" s="62" t="n">
        <f aca="false">-Capacity!X139</f>
        <v>-0</v>
      </c>
      <c r="Y31" s="62" t="n">
        <f aca="false">-Capacity!Y139</f>
        <v>-0</v>
      </c>
      <c r="Z31" s="62" t="n">
        <f aca="false">-Capacity!Z139</f>
        <v>-0</v>
      </c>
      <c r="AA31" s="62" t="n">
        <f aca="false">-Capacity!AA139</f>
        <v>-0</v>
      </c>
      <c r="AB31" s="62" t="n">
        <f aca="false">-Capacity!AB139</f>
        <v>-0</v>
      </c>
    </row>
    <row r="32" customFormat="false" ht="15" hidden="false" customHeight="false" outlineLevel="0" collapsed="false">
      <c r="A32" s="29" t="s">
        <v>358</v>
      </c>
      <c r="B32" s="60" t="s">
        <v>51</v>
      </c>
      <c r="C32" s="61" t="n">
        <f aca="false">SUM(E32:P32)</f>
        <v>-155961.778658333</v>
      </c>
      <c r="D32" s="61" t="n">
        <f aca="false">SUM(Q32:AB32)</f>
        <v>-146731.605339369</v>
      </c>
      <c r="E32" s="62" t="n">
        <f aca="false">-Engagements!E590</f>
        <v>-7834.7</v>
      </c>
      <c r="F32" s="62" t="n">
        <f aca="false">-Engagements!F590</f>
        <v>-14303.92</v>
      </c>
      <c r="G32" s="62" t="n">
        <f aca="false">-Engagements!G590</f>
        <v>-13574.17</v>
      </c>
      <c r="H32" s="62" t="n">
        <f aca="false">-Engagements!H590</f>
        <v>-12546.55</v>
      </c>
      <c r="I32" s="62" t="n">
        <f aca="false">-Engagements!I590</f>
        <v>-11333.78</v>
      </c>
      <c r="J32" s="62" t="n">
        <f aca="false">-Engagements!J590</f>
        <v>-18106.17</v>
      </c>
      <c r="K32" s="62" t="n">
        <f aca="false">-Engagements!K590</f>
        <v>-12158.22</v>
      </c>
      <c r="L32" s="62" t="n">
        <f aca="false">-Engagements!L590</f>
        <v>-10734.34</v>
      </c>
      <c r="M32" s="62" t="n">
        <f aca="false">-Engagements!M590</f>
        <v>-16494.9496391643</v>
      </c>
      <c r="N32" s="62" t="n">
        <f aca="false">-Engagements!N590</f>
        <v>-14119.2541026505</v>
      </c>
      <c r="O32" s="62" t="n">
        <f aca="false">-Engagements!O590</f>
        <v>-10059.5218873657</v>
      </c>
      <c r="P32" s="62" t="n">
        <f aca="false">-Engagements!P590</f>
        <v>-14696.2030291521</v>
      </c>
      <c r="Q32" s="62" t="n">
        <f aca="false">-Engagements!Q590</f>
        <v>-14216.2773264564</v>
      </c>
      <c r="R32" s="62" t="n">
        <f aca="false">-Engagements!R590</f>
        <v>-15464.6802858764</v>
      </c>
      <c r="S32" s="62" t="n">
        <f aca="false">-Engagements!S590</f>
        <v>-13349.6548817266</v>
      </c>
      <c r="T32" s="62" t="n">
        <f aca="false">-Engagements!T590</f>
        <v>-13909.2649447381</v>
      </c>
      <c r="U32" s="62" t="n">
        <f aca="false">-Engagements!U590</f>
        <v>-10564.9672580005</v>
      </c>
      <c r="V32" s="62" t="n">
        <f aca="false">-Engagements!V590</f>
        <v>-11548.6170667034</v>
      </c>
      <c r="W32" s="62" t="n">
        <f aca="false">-Engagements!W590</f>
        <v>-10856.1281748594</v>
      </c>
      <c r="X32" s="62" t="n">
        <f aca="false">-Engagements!X590</f>
        <v>-9384.09653054832</v>
      </c>
      <c r="Y32" s="62" t="n">
        <f aca="false">-Engagements!Y590</f>
        <v>-12199.6424394539</v>
      </c>
      <c r="Z32" s="62" t="n">
        <f aca="false">-Engagements!Z590</f>
        <v>-11100.8762363085</v>
      </c>
      <c r="AA32" s="62" t="n">
        <f aca="false">-Engagements!AA590</f>
        <v>-11597.9035727688</v>
      </c>
      <c r="AB32" s="62" t="n">
        <f aca="false">-Engagements!AB590</f>
        <v>-12539.4966219289</v>
      </c>
    </row>
    <row r="33" customFormat="false" ht="15" hidden="false" customHeight="false" outlineLevel="0" collapsed="false">
      <c r="A33" s="68" t="s">
        <v>681</v>
      </c>
      <c r="B33" s="69"/>
      <c r="C33" s="70" t="n">
        <f aca="false">SUM(E33:P33)</f>
        <v>878565.136516878</v>
      </c>
      <c r="D33" s="70" t="n">
        <f aca="false">SUM(Q33:AB33)</f>
        <v>784881.107935709</v>
      </c>
      <c r="E33" s="70" t="n">
        <f aca="false">E28+E29+E30+E31+E32</f>
        <v>29872.72236961</v>
      </c>
      <c r="F33" s="70" t="n">
        <f aca="false">F28+F29+F30+F31+F32</f>
        <v>74470.1652114426</v>
      </c>
      <c r="G33" s="70" t="n">
        <f aca="false">G28+G29+G30+G31+G32</f>
        <v>85637.7131003241</v>
      </c>
      <c r="H33" s="70" t="n">
        <f aca="false">H28+H29+H30+H31+H32</f>
        <v>85016.1853394476</v>
      </c>
      <c r="I33" s="70" t="n">
        <f aca="false">I28+I29+I30+I31+I32</f>
        <v>63409.0938748987</v>
      </c>
      <c r="J33" s="70" t="n">
        <f aca="false">J28+J29+J30+J31+J32</f>
        <v>108210.125628017</v>
      </c>
      <c r="K33" s="70" t="n">
        <f aca="false">K28+K29+K30+K31+K32</f>
        <v>47895.1575676502</v>
      </c>
      <c r="L33" s="70" t="n">
        <f aca="false">L28+L29+L30+L31+L32</f>
        <v>13313.3046128613</v>
      </c>
      <c r="M33" s="70" t="n">
        <f aca="false">M28+M29+M30+M31+M32</f>
        <v>105013.153208774</v>
      </c>
      <c r="N33" s="70" t="n">
        <f aca="false">N28+N29+N30+N31+N32</f>
        <v>74542.7171815533</v>
      </c>
      <c r="O33" s="70" t="n">
        <f aca="false">O28+O29+O30+O31+O32</f>
        <v>80324.4258419695</v>
      </c>
      <c r="P33" s="70" t="n">
        <f aca="false">P28+P29+P30+P31+P32</f>
        <v>110860.37258033</v>
      </c>
      <c r="Q33" s="70" t="n">
        <f aca="false">Q28+Q29+Q30+Q31+Q32</f>
        <v>86404.5586411587</v>
      </c>
      <c r="R33" s="70" t="n">
        <f aca="false">R28+R29+R30+R31+R32</f>
        <v>102317.130034951</v>
      </c>
      <c r="S33" s="70" t="n">
        <f aca="false">S28+S29+S30+S31+S32</f>
        <v>75155.4381276905</v>
      </c>
      <c r="T33" s="70" t="n">
        <f aca="false">T28+T29+T30+T31+T32</f>
        <v>79362.7385861609</v>
      </c>
      <c r="U33" s="70" t="n">
        <f aca="false">U28+U29+U30+U31+U32</f>
        <v>25051.5261834572</v>
      </c>
      <c r="V33" s="70" t="n">
        <f aca="false">V28+V29+V30+V31+V32</f>
        <v>67263.847406873</v>
      </c>
      <c r="W33" s="70" t="n">
        <f aca="false">W28+W29+W30+W31+W32</f>
        <v>59953.9386985287</v>
      </c>
      <c r="X33" s="70" t="n">
        <f aca="false">X28+X29+X30+X31+X32</f>
        <v>34853.6192191301</v>
      </c>
      <c r="Y33" s="70" t="n">
        <f aca="false">Y28+Y29+Y30+Y31+Y32</f>
        <v>68848.9595377079</v>
      </c>
      <c r="Z33" s="70" t="n">
        <f aca="false">Z28+Z29+Z30+Z31+Z32</f>
        <v>51430.8875166776</v>
      </c>
      <c r="AA33" s="70" t="n">
        <f aca="false">AA28+AA29+AA30+AA31+AA32</f>
        <v>59518.3621361649</v>
      </c>
      <c r="AB33" s="70" t="n">
        <f aca="false">AB28+AB29+AB30+AB31+AB32</f>
        <v>74720.1018472082</v>
      </c>
    </row>
    <row r="34" customFormat="false" ht="15" hidden="false" customHeight="false" outlineLevel="0" collapsed="false">
      <c r="A34" s="29" t="s">
        <v>682</v>
      </c>
      <c r="B34" s="60"/>
      <c r="C34" s="63" t="n">
        <f aca="false">IF(C28=0,0,C33/C28)</f>
        <v>0.372652462877026</v>
      </c>
      <c r="D34" s="63" t="n">
        <f aca="false">IF(D28=0,0,D33/D28)</f>
        <v>0.324970012212271</v>
      </c>
      <c r="E34" s="64" t="n">
        <f aca="false">IF(E28=0,0,E33/E28)</f>
        <v>0.225301422509747</v>
      </c>
      <c r="F34" s="64" t="n">
        <f aca="false">IF(F28=0,0,F33/F28)</f>
        <v>0.378188832517579</v>
      </c>
      <c r="G34" s="64" t="n">
        <f aca="false">IF(G28=0,0,G33/G28)</f>
        <v>0.415011051589346</v>
      </c>
      <c r="H34" s="64" t="n">
        <f aca="false">IF(H28=0,0,H33/H28)</f>
        <v>0.39127121972769</v>
      </c>
      <c r="I34" s="64" t="n">
        <f aca="false">IF(I28=0,0,I33/I28)</f>
        <v>0.333701003706017</v>
      </c>
      <c r="J34" s="64" t="n">
        <f aca="false">IF(J28=0,0,J33/J28)</f>
        <v>0.435101551233205</v>
      </c>
      <c r="K34" s="64" t="n">
        <f aca="false">IF(K28=0,0,K33/K28)</f>
        <v>0.287184137867901</v>
      </c>
      <c r="L34" s="64" t="n">
        <f aca="false">IF(L28=0,0,L33/L28)</f>
        <v>0.10155134078083</v>
      </c>
      <c r="M34" s="64" t="n">
        <f aca="false">IF(M28=0,0,M33/M28)</f>
        <v>0.448892691079112</v>
      </c>
      <c r="N34" s="64" t="n">
        <f aca="false">IF(N28=0,0,N33/N28)</f>
        <v>0.381797010440976</v>
      </c>
      <c r="O34" s="64" t="n">
        <f aca="false">IF(O28=0,0,O33/O28)</f>
        <v>0.409530564242533</v>
      </c>
      <c r="P34" s="64" t="n">
        <f aca="false">IF(P28=0,0,P33/P28)</f>
        <v>0.45705547198184</v>
      </c>
      <c r="Q34" s="64" t="n">
        <f aca="false">IF(Q28=0,0,Q33/Q28)</f>
        <v>0.374818952698156</v>
      </c>
      <c r="R34" s="64" t="n">
        <f aca="false">IF(R28=0,0,R33/R28)</f>
        <v>0.40541475569833</v>
      </c>
      <c r="S34" s="64" t="n">
        <f aca="false">IF(S28=0,0,S33/S28)</f>
        <v>0.361683510520143</v>
      </c>
      <c r="T34" s="64" t="n">
        <f aca="false">IF(T28=0,0,T33/T28)</f>
        <v>0.373563689841754</v>
      </c>
      <c r="U34" s="64" t="n">
        <f aca="false">IF(U28=0,0,U33/U28)</f>
        <v>0.161835387488063</v>
      </c>
      <c r="V34" s="64" t="n">
        <f aca="false">IF(V28=0,0,V33/V28)</f>
        <v>0.339724810853905</v>
      </c>
      <c r="W34" s="64" t="n">
        <f aca="false">IF(W28=0,0,W33/W28)</f>
        <v>0.315556975317707</v>
      </c>
      <c r="X34" s="64" t="n">
        <f aca="false">IF(X28=0,0,X33/X28)</f>
        <v>0.213274293797017</v>
      </c>
      <c r="Y34" s="64" t="n">
        <f aca="false">IF(Y28=0,0,Y33/Y28)</f>
        <v>0.332343861392656</v>
      </c>
      <c r="Z34" s="64" t="n">
        <f aca="false">IF(Z28=0,0,Z33/Z28)</f>
        <v>0.272758471733447</v>
      </c>
      <c r="AA34" s="64" t="n">
        <f aca="false">IF(AA28=0,0,AA33/AA28)</f>
        <v>0.302035784661088</v>
      </c>
      <c r="AB34" s="64" t="n">
        <f aca="false">IF(AB28=0,0,AB33/AB28)</f>
        <v>0.350607350854543</v>
      </c>
    </row>
    <row r="35" customFormat="false" ht="15" hidden="false" customHeight="false" outlineLevel="0" collapsed="false">
      <c r="A35" s="29" t="s">
        <v>683</v>
      </c>
      <c r="B35" s="60" t="s">
        <v>684</v>
      </c>
      <c r="C35" s="61" t="n">
        <f aca="false">SUM(E35:P35)</f>
        <v>-585349.080267473</v>
      </c>
      <c r="D35" s="61" t="n">
        <f aca="false">SUM(Q35:AB35)</f>
        <v>-550147.65491007</v>
      </c>
      <c r="E35" s="62" t="n">
        <f aca="false">IF(PL!E14=0,0,E28/PL!E14)*PL!E41</f>
        <v>-38552.6307085951</v>
      </c>
      <c r="F35" s="62" t="n">
        <f aca="false">IF(PL!F14=0,0,F28/PL!F14)*PL!F41</f>
        <v>-62567.3420602857</v>
      </c>
      <c r="G35" s="62" t="n">
        <f aca="false">IF(PL!G14=0,0,G28/PL!G14)*PL!G41</f>
        <v>-47087.4497054597</v>
      </c>
      <c r="H35" s="62" t="n">
        <f aca="false">IF(PL!H14=0,0,H28/PL!H14)*PL!H41</f>
        <v>-55273.9905777872</v>
      </c>
      <c r="I35" s="62" t="n">
        <f aca="false">IF(PL!I14=0,0,I28/PL!I14)*PL!I41</f>
        <v>-48116.7560823008</v>
      </c>
      <c r="J35" s="62" t="n">
        <f aca="false">IF(PL!J14=0,0,J28/PL!J14)*PL!J41</f>
        <v>-48290.6134840741</v>
      </c>
      <c r="K35" s="62" t="n">
        <f aca="false">IF(PL!K14=0,0,K28/PL!K14)*PL!K41</f>
        <v>-73463.0815991415</v>
      </c>
      <c r="L35" s="62" t="n">
        <f aca="false">IF(PL!L14=0,0,L28/PL!L14)*PL!L41</f>
        <v>-35570.5928643532</v>
      </c>
      <c r="M35" s="62" t="n">
        <f aca="false">IF(PL!M14=0,0,M28/PL!M14)*PL!M41</f>
        <v>-44952.5366886585</v>
      </c>
      <c r="N35" s="62" t="n">
        <f aca="false">IF(PL!N14=0,0,N28/PL!N14)*PL!N41</f>
        <v>-45261.8195111559</v>
      </c>
      <c r="O35" s="62" t="n">
        <f aca="false">IF(PL!O14=0,0,O28/PL!O14)*PL!O41</f>
        <v>-40055.8289706913</v>
      </c>
      <c r="P35" s="62" t="n">
        <f aca="false">IF(PL!P14=0,0,P28/PL!P14)*PL!P41</f>
        <v>-46156.4380149699</v>
      </c>
      <c r="Q35" s="62" t="n">
        <f aca="false">IF(PL!Q14=0,0,Q28/PL!Q14)*PL!Q41</f>
        <v>-60039.7550786961</v>
      </c>
      <c r="R35" s="62" t="n">
        <f aca="false">IF(PL!R14=0,0,R28/PL!R14)*PL!R41</f>
        <v>-52294.2048307815</v>
      </c>
      <c r="S35" s="62" t="n">
        <f aca="false">IF(PL!S14=0,0,S28/PL!S14)*PL!S41</f>
        <v>-43375.2782496573</v>
      </c>
      <c r="T35" s="62" t="n">
        <f aca="false">IF(PL!T14=0,0,T28/PL!T14)*PL!T41</f>
        <v>-49396.8423591796</v>
      </c>
      <c r="U35" s="62" t="n">
        <f aca="false">IF(PL!U14=0,0,U28/PL!U14)*PL!U41</f>
        <v>-43159.8501587006</v>
      </c>
      <c r="V35" s="62" t="n">
        <f aca="false">IF(PL!V14=0,0,V28/PL!V14)*PL!V41</f>
        <v>-41157.0835775833</v>
      </c>
      <c r="W35" s="62" t="n">
        <f aca="false">IF(PL!W14=0,0,W28/PL!W14)*PL!W41</f>
        <v>-42101.8222319347</v>
      </c>
      <c r="X35" s="62" t="n">
        <f aca="false">IF(PL!X14=0,0,X28/PL!X14)*PL!X41</f>
        <v>-42057.7589370284</v>
      </c>
      <c r="Y35" s="62" t="n">
        <f aca="false">IF(PL!Y14=0,0,Y28/PL!Y14)*PL!Y41</f>
        <v>-44612.7379471553</v>
      </c>
      <c r="Z35" s="62" t="n">
        <f aca="false">IF(PL!Z14=0,0,Z28/PL!Z14)*PL!Z41</f>
        <v>-43941.0258413635</v>
      </c>
      <c r="AA35" s="62" t="n">
        <f aca="false">IF(PL!AA14=0,0,AA28/PL!AA14)*PL!AA41</f>
        <v>-43955.7263184851</v>
      </c>
      <c r="AB35" s="62" t="n">
        <f aca="false">IF(PL!AB14=0,0,AB28/PL!AB14)*PL!AB41</f>
        <v>-44055.5693795044</v>
      </c>
    </row>
    <row r="36" customFormat="false" ht="15" hidden="false" customHeight="false" outlineLevel="0" collapsed="false">
      <c r="A36" s="68" t="s">
        <v>685</v>
      </c>
      <c r="B36" s="69"/>
      <c r="C36" s="70" t="n">
        <f aca="false">SUM(E36:P36)</f>
        <v>293216.056249405</v>
      </c>
      <c r="D36" s="70" t="n">
        <f aca="false">SUM(Q36:AB36)</f>
        <v>234733.453025639</v>
      </c>
      <c r="E36" s="70" t="n">
        <f aca="false">E33+E35</f>
        <v>-8679.9083389851</v>
      </c>
      <c r="F36" s="70" t="n">
        <f aca="false">F33+F35</f>
        <v>11902.8231511569</v>
      </c>
      <c r="G36" s="70" t="n">
        <f aca="false">G33+G35</f>
        <v>38550.2633948644</v>
      </c>
      <c r="H36" s="70" t="n">
        <f aca="false">H33+H35</f>
        <v>29742.1947616605</v>
      </c>
      <c r="I36" s="70" t="n">
        <f aca="false">I33+I35</f>
        <v>15292.337792598</v>
      </c>
      <c r="J36" s="70" t="n">
        <f aca="false">J33+J35</f>
        <v>59919.5121439424</v>
      </c>
      <c r="K36" s="70" t="n">
        <f aca="false">K33+K35</f>
        <v>-25567.9240314913</v>
      </c>
      <c r="L36" s="70" t="n">
        <f aca="false">L33+L35</f>
        <v>-22257.288251492</v>
      </c>
      <c r="M36" s="70" t="n">
        <f aca="false">M33+M35</f>
        <v>60060.6165201154</v>
      </c>
      <c r="N36" s="70" t="n">
        <f aca="false">N33+N35</f>
        <v>29280.8976703974</v>
      </c>
      <c r="O36" s="70" t="n">
        <f aca="false">O33+O35</f>
        <v>40268.5968712781</v>
      </c>
      <c r="P36" s="70" t="n">
        <f aca="false">P33+P35</f>
        <v>64703.9345653606</v>
      </c>
      <c r="Q36" s="70" t="n">
        <f aca="false">Q33+Q35</f>
        <v>26364.8035624626</v>
      </c>
      <c r="R36" s="70" t="n">
        <f aca="false">R33+R35</f>
        <v>50022.9252041695</v>
      </c>
      <c r="S36" s="70" t="n">
        <f aca="false">S33+S35</f>
        <v>31780.1598780332</v>
      </c>
      <c r="T36" s="70" t="n">
        <f aca="false">T33+T35</f>
        <v>29965.8962269813</v>
      </c>
      <c r="U36" s="70" t="n">
        <f aca="false">U33+U35</f>
        <v>-18108.3239752434</v>
      </c>
      <c r="V36" s="70" t="n">
        <f aca="false">V33+V35</f>
        <v>26106.7638292897</v>
      </c>
      <c r="W36" s="70" t="n">
        <f aca="false">W33+W35</f>
        <v>17852.116466594</v>
      </c>
      <c r="X36" s="70" t="n">
        <f aca="false">X33+X35</f>
        <v>-7204.13971789834</v>
      </c>
      <c r="Y36" s="70" t="n">
        <f aca="false">Y33+Y35</f>
        <v>24236.2215905526</v>
      </c>
      <c r="Z36" s="70" t="n">
        <f aca="false">Z33+Z35</f>
        <v>7489.86167531408</v>
      </c>
      <c r="AA36" s="70" t="n">
        <f aca="false">AA33+AA35</f>
        <v>15562.6358176798</v>
      </c>
      <c r="AB36" s="70" t="n">
        <f aca="false">AB33+AB35</f>
        <v>30664.5324677037</v>
      </c>
    </row>
    <row r="37" customFormat="false" ht="15" hidden="false" customHeight="false" outlineLevel="0" collapsed="false">
      <c r="A37" s="29" t="s">
        <v>686</v>
      </c>
      <c r="B37" s="60" t="s">
        <v>56</v>
      </c>
      <c r="C37" s="66" t="n">
        <f aca="false">SUM(E37:P37)</f>
        <v>12347.3099197425</v>
      </c>
      <c r="D37" s="66" t="n">
        <f aca="false">SUM(Q37:AB37)</f>
        <v>12415.1185275171</v>
      </c>
      <c r="E37" s="67" t="n">
        <f aca="false">Capacity!E89</f>
        <v>695.7</v>
      </c>
      <c r="F37" s="67" t="n">
        <f aca="false">Capacity!F89</f>
        <v>1008.8</v>
      </c>
      <c r="G37" s="67" t="n">
        <f aca="false">Capacity!G89</f>
        <v>1103.4</v>
      </c>
      <c r="H37" s="67" t="n">
        <f aca="false">Capacity!H89</f>
        <v>1180.5</v>
      </c>
      <c r="I37" s="67" t="n">
        <f aca="false">Capacity!I89</f>
        <v>1004.8</v>
      </c>
      <c r="J37" s="67" t="n">
        <f aca="false">Capacity!J89</f>
        <v>1305.1</v>
      </c>
      <c r="K37" s="67" t="n">
        <f aca="false">Capacity!K89</f>
        <v>867.2</v>
      </c>
      <c r="L37" s="67" t="n">
        <f aca="false">Capacity!L89</f>
        <v>657.8</v>
      </c>
      <c r="M37" s="67" t="n">
        <f aca="false">Capacity!M89</f>
        <v>1230.39512391643</v>
      </c>
      <c r="N37" s="67" t="n">
        <f aca="false">Capacity!N89</f>
        <v>1008.18525026505</v>
      </c>
      <c r="O37" s="67" t="n">
        <f aca="false">Capacity!O89</f>
        <v>1016.51937376297</v>
      </c>
      <c r="P37" s="67" t="n">
        <f aca="false">Capacity!P89</f>
        <v>1268.91017179809</v>
      </c>
      <c r="Q37" s="67" t="n">
        <f aca="false">Capacity!Q89</f>
        <v>1189.45892346059</v>
      </c>
      <c r="R37" s="67" t="n">
        <f aca="false">Capacity!R89</f>
        <v>1306.76916864769</v>
      </c>
      <c r="S37" s="67" t="n">
        <f aca="false">Capacity!S89</f>
        <v>1057.1207127</v>
      </c>
      <c r="T37" s="67" t="n">
        <f aca="false">Capacity!T89</f>
        <v>1074.2797478585</v>
      </c>
      <c r="U37" s="67" t="n">
        <f aca="false">Capacity!U89</f>
        <v>783.345221739699</v>
      </c>
      <c r="V37" s="67" t="n">
        <f aca="false">Capacity!V89</f>
        <v>1020.51121531757</v>
      </c>
      <c r="W37" s="67" t="n">
        <f aca="false">Capacity!W89</f>
        <v>968.45124291147</v>
      </c>
      <c r="X37" s="67" t="n">
        <f aca="false">Capacity!X89</f>
        <v>828.252120966313</v>
      </c>
      <c r="Y37" s="67" t="n">
        <f aca="false">Capacity!Y89</f>
        <v>1076.75573163759</v>
      </c>
      <c r="Z37" s="67" t="n">
        <f aca="false">Capacity!Z89</f>
        <v>979.777249453529</v>
      </c>
      <c r="AA37" s="67" t="n">
        <f aca="false">Capacity!AA89</f>
        <v>1023.64550509875</v>
      </c>
      <c r="AB37" s="67" t="n">
        <f aca="false">Capacity!AB89</f>
        <v>1106.75168772541</v>
      </c>
    </row>
    <row r="38" customFormat="false" ht="15" hidden="false" customHeight="false" outlineLevel="0" collapsed="false">
      <c r="A38" s="29" t="s">
        <v>687</v>
      </c>
      <c r="B38" s="60" t="s">
        <v>56</v>
      </c>
      <c r="C38" s="63" t="n">
        <f aca="false">Capacity!C92</f>
        <v>0.721103599403554</v>
      </c>
      <c r="D38" s="63" t="n">
        <f aca="false">Capacity!D92</f>
        <v>0.652488030913835</v>
      </c>
      <c r="E38" s="65" t="n">
        <f aca="false">Capacity!E92</f>
        <v>0.597702205882353</v>
      </c>
      <c r="F38" s="65" t="n">
        <f aca="false">Capacity!F92</f>
        <v>0.773821548821549</v>
      </c>
      <c r="G38" s="65" t="n">
        <f aca="false">Capacity!G92</f>
        <v>0.735160427807487</v>
      </c>
      <c r="H38" s="65" t="n">
        <f aca="false">Capacity!H92</f>
        <v>0.814393939393939</v>
      </c>
      <c r="I38" s="65" t="n">
        <f aca="false">Capacity!I92</f>
        <v>0.824911347517731</v>
      </c>
      <c r="J38" s="65" t="n">
        <f aca="false">Capacity!J92</f>
        <v>0.810082872928177</v>
      </c>
      <c r="K38" s="65" t="n">
        <f aca="false">Capacity!K92</f>
        <v>0.555705128205128</v>
      </c>
      <c r="L38" s="65" t="n">
        <f aca="false">Capacity!L92</f>
        <v>0.540789473684211</v>
      </c>
      <c r="M38" s="65" t="n">
        <f aca="false">Capacity!M92</f>
        <v>0.778139220427122</v>
      </c>
      <c r="N38" s="65" t="n">
        <f aca="false">Capacity!N92</f>
        <v>0.698214536121262</v>
      </c>
      <c r="O38" s="65" t="n">
        <f aca="false">Capacity!O92</f>
        <v>0.718583326491403</v>
      </c>
      <c r="P38" s="65" t="n">
        <f aca="false">Capacity!P92</f>
        <v>0.796144371075398</v>
      </c>
      <c r="Q38" s="65" t="n">
        <f aca="false">Capacity!Q92</f>
        <v>0.789358211629085</v>
      </c>
      <c r="R38" s="65" t="n">
        <f aca="false">Capacity!R92</f>
        <v>0.816489219143398</v>
      </c>
      <c r="S38" s="65" t="n">
        <f aca="false">Capacity!S92</f>
        <v>0.697896353746412</v>
      </c>
      <c r="T38" s="65" t="n">
        <f aca="false">Capacity!T92</f>
        <v>0.67933172086663</v>
      </c>
      <c r="U38" s="65" t="n">
        <f aca="false">Capacity!U92</f>
        <v>0.649908074978291</v>
      </c>
      <c r="V38" s="65" t="n">
        <f aca="false">Capacity!V92</f>
        <v>0.625014328070891</v>
      </c>
      <c r="W38" s="65" t="n">
        <f aca="false">Capacity!W92</f>
        <v>0.612358519765067</v>
      </c>
      <c r="X38" s="65" t="n">
        <f aca="false">Capacity!X92</f>
        <v>0.598064095709215</v>
      </c>
      <c r="Y38" s="65" t="n">
        <f aca="false">Capacity!Y92</f>
        <v>0.60302184589997</v>
      </c>
      <c r="Z38" s="65" t="n">
        <f aca="false">Capacity!Z92</f>
        <v>0.602965108960549</v>
      </c>
      <c r="AA38" s="65" t="n">
        <f aca="false">Capacity!AA92</f>
        <v>0.602908970007631</v>
      </c>
      <c r="AB38" s="65" t="n">
        <f aca="false">Capacity!AB92</f>
        <v>0.602853415398414</v>
      </c>
    </row>
    <row r="39" customFormat="false" ht="15" hidden="false" customHeight="false" outlineLevel="0" collapsed="false">
      <c r="A39" s="29" t="s">
        <v>688</v>
      </c>
      <c r="B39" s="60" t="s">
        <v>51</v>
      </c>
      <c r="C39" s="63" t="n">
        <f aca="false">IF(Engagements!C587=0,0,C26/Engagements!C587)</f>
        <v>0.903118725564401</v>
      </c>
      <c r="D39" s="63" t="n">
        <f aca="false">IF(Engagements!D587=0,0,D26/Engagements!D587)</f>
        <v>0.88700564985829</v>
      </c>
      <c r="E39" s="65" t="n">
        <f aca="false">IF(Engagements!E587=0,0,E26/Engagements!E587)</f>
        <v>0.909475807197758</v>
      </c>
      <c r="F39" s="65" t="n">
        <f aca="false">IF(Engagements!F587=0,0,F26/Engagements!F587)</f>
        <v>0.917444403951721</v>
      </c>
      <c r="G39" s="65" t="n">
        <f aca="false">IF(Engagements!G587=0,0,G26/Engagements!G587)</f>
        <v>0.886844752180125</v>
      </c>
      <c r="H39" s="65" t="n">
        <f aca="false">IF(Engagements!H587=0,0,H26/Engagements!H587)</f>
        <v>0.875517018294156</v>
      </c>
      <c r="I39" s="65" t="n">
        <f aca="false">IF(Engagements!I587=0,0,I26/Engagements!I587)</f>
        <v>0.902175096861731</v>
      </c>
      <c r="J39" s="65" t="n">
        <f aca="false">IF(Engagements!J587=0,0,J26/Engagements!J587)</f>
        <v>0.898480150894237</v>
      </c>
      <c r="K39" s="65" t="n">
        <f aca="false">IF(Engagements!K587=0,0,K26/Engagements!K587)</f>
        <v>0.907963615087489</v>
      </c>
      <c r="L39" s="65" t="n">
        <f aca="false">IF(Engagements!L587=0,0,L26/Engagements!L587)</f>
        <v>0.930793068532297</v>
      </c>
      <c r="M39" s="65" t="n">
        <f aca="false">IF(Engagements!M587=0,0,M26/Engagements!M587)</f>
        <v>0.899289755637369</v>
      </c>
      <c r="N39" s="65" t="n">
        <f aca="false">IF(Engagements!N587=0,0,N26/Engagements!N587)</f>
        <v>0.913329950118678</v>
      </c>
      <c r="O39" s="65" t="n">
        <f aca="false">IF(Engagements!O587=0,0,O26/Engagements!O587)</f>
        <v>0.903507805859662</v>
      </c>
      <c r="P39" s="65" t="n">
        <f aca="false">IF(Engagements!P587=0,0,P26/Engagements!P587)</f>
        <v>0.911640661485021</v>
      </c>
      <c r="Q39" s="65" t="n">
        <f aca="false">IF(Engagements!Q587=0,0,Q26/Engagements!Q587)</f>
        <v>0.89390775112252</v>
      </c>
      <c r="R39" s="65" t="n">
        <f aca="false">IF(Engagements!R587=0,0,R26/Engagements!R587)</f>
        <v>0.894279410324551</v>
      </c>
      <c r="S39" s="65" t="n">
        <f aca="false">IF(Engagements!S587=0,0,S26/Engagements!S587)</f>
        <v>0.892218513484232</v>
      </c>
      <c r="T39" s="65" t="n">
        <f aca="false">IF(Engagements!T587=0,0,T26/Engagements!T587)</f>
        <v>0.891303906634817</v>
      </c>
      <c r="U39" s="65" t="n">
        <f aca="false">IF(Engagements!U587=0,0,U26/Engagements!U587)</f>
        <v>0.887495156199193</v>
      </c>
      <c r="V39" s="65" t="n">
        <f aca="false">IF(Engagements!V587=0,0,V26/Engagements!V587)</f>
        <v>0.880242541608079</v>
      </c>
      <c r="W39" s="65" t="n">
        <f aca="false">IF(Engagements!W587=0,0,W26/Engagements!W587)</f>
        <v>0.884723637238331</v>
      </c>
      <c r="X39" s="65" t="n">
        <f aca="false">IF(Engagements!X587=0,0,X26/Engagements!X587)</f>
        <v>0.8832</v>
      </c>
      <c r="Y39" s="65" t="n">
        <f aca="false">IF(Engagements!Y587=0,0,Y26/Engagements!Y587)</f>
        <v>0.8832</v>
      </c>
      <c r="Z39" s="65" t="n">
        <f aca="false">IF(Engagements!Z587=0,0,Z26/Engagements!Z587)</f>
        <v>0.8832</v>
      </c>
      <c r="AA39" s="65" t="n">
        <f aca="false">IF(Engagements!AA587=0,0,AA26/Engagements!AA587)</f>
        <v>0.8832</v>
      </c>
      <c r="AB39" s="65" t="n">
        <f aca="false">IF(Engagements!AB587=0,0,AB26/Engagements!AB587)</f>
        <v>0.8832</v>
      </c>
    </row>
    <row r="40" customFormat="false" ht="15" hidden="false" customHeight="false" outlineLevel="0" collapsed="false">
      <c r="A40" s="29" t="s">
        <v>318</v>
      </c>
      <c r="B40" s="60" t="s">
        <v>391</v>
      </c>
      <c r="C40" s="61" t="n">
        <f aca="false">AVERAGE(E40:P40)</f>
        <v>229897.977140824</v>
      </c>
      <c r="D40" s="61" t="n">
        <f aca="false">AVERAGE(Q40:AB40)</f>
        <v>207785.97254674</v>
      </c>
      <c r="E40" s="62" t="n">
        <f aca="false">IF(People!E84=0,0,E26*12/People!E84)</f>
        <v>191681.685</v>
      </c>
      <c r="F40" s="62" t="n">
        <f aca="false">IF(People!F84=0,0,F26*12/People!F84)</f>
        <v>247313.946666667</v>
      </c>
      <c r="G40" s="62" t="n">
        <f aca="false">IF(People!G84=0,0,G26*12/People!G84)</f>
        <v>235182.672</v>
      </c>
      <c r="H40" s="62" t="n">
        <f aca="false">IF(People!H84=0,0,H26*12/People!H84)</f>
        <v>249376.356</v>
      </c>
      <c r="I40" s="62" t="n">
        <f aca="false">IF(People!I84=0,0,I26*12/People!I84)</f>
        <v>218686.464</v>
      </c>
      <c r="J40" s="62" t="n">
        <f aca="false">IF(People!J84=0,0,J26*12/People!J84)</f>
        <v>282723.024</v>
      </c>
      <c r="K40" s="62" t="n">
        <f aca="false">IF(People!K84=0,0,K26*12/People!K84)</f>
        <v>187783.248</v>
      </c>
      <c r="L40" s="62" t="n">
        <f aca="false">IF(People!L84=0,0,L26*12/People!L84)</f>
        <v>145961.28</v>
      </c>
      <c r="M40" s="62" t="n">
        <f aca="false">IF(People!M84=0,0,M26*12/People!M84)</f>
        <v>265684.315327056</v>
      </c>
      <c r="N40" s="62" t="n">
        <f aca="false">IF(People!N84=0,0,N26*12/People!N84)</f>
        <v>221569.512151945</v>
      </c>
      <c r="O40" s="62" t="n">
        <f aca="false">IF(People!O84=0,0,O26*12/People!O84)</f>
        <v>229826.332294556</v>
      </c>
      <c r="P40" s="62" t="n">
        <f aca="false">IF(People!P84=0,0,P26*12/People!P84)</f>
        <v>282986.890249658</v>
      </c>
      <c r="Q40" s="62" t="n">
        <f aca="false">IF(People!Q84=0,0,Q26*12/People!Q84)</f>
        <v>244627.643048901</v>
      </c>
      <c r="R40" s="62" t="n">
        <f aca="false">IF(People!R84=0,0,R26*12/People!R84)</f>
        <v>269219.652530878</v>
      </c>
      <c r="S40" s="62" t="n">
        <f aca="false">IF(People!S84=0,0,S26*12/People!S84)</f>
        <v>222166.064139346</v>
      </c>
      <c r="T40" s="62" t="n">
        <f aca="false">IF(People!T84=0,0,T26*12/People!T84)</f>
        <v>225669.617668295</v>
      </c>
      <c r="U40" s="62" t="n">
        <f aca="false">IF(People!U84=0,0,U26*12/People!U84)</f>
        <v>164030.588575068</v>
      </c>
      <c r="V40" s="62" t="n">
        <f aca="false">IF(People!V84=0,0,V26*12/People!V84)</f>
        <v>212161.987995305</v>
      </c>
      <c r="W40" s="62" t="n">
        <f aca="false">IF(People!W84=0,0,W26*12/People!W84)</f>
        <v>202475.201503768</v>
      </c>
      <c r="X40" s="62" t="n">
        <f aca="false">IF(People!X84=0,0,X26*12/People!X84)</f>
        <v>172980.759186222</v>
      </c>
      <c r="Y40" s="62" t="n">
        <f aca="false">IF(People!Y84=0,0,Y26*12/People!Y84)</f>
        <v>200203.111586009</v>
      </c>
      <c r="Z40" s="62" t="n">
        <f aca="false">IF(People!Z84=0,0,Z26*12/People!Z84)</f>
        <v>182423.006282251</v>
      </c>
      <c r="AA40" s="62" t="n">
        <f aca="false">IF(People!AA84=0,0,AA26*12/People!AA84)</f>
        <v>190850.661867557</v>
      </c>
      <c r="AB40" s="62" t="n">
        <f aca="false">IF(People!AB84=0,0,AB26*12/People!AB84)</f>
        <v>206623.376177277</v>
      </c>
    </row>
    <row r="41" customFormat="false" ht="15" hidden="false" customHeight="false" outlineLevel="0" collapsed="false">
      <c r="A41" s="29" t="s">
        <v>331</v>
      </c>
      <c r="B41" s="60"/>
      <c r="C41" s="66" t="n">
        <f aca="false">P41</f>
        <v>8.71901086244936</v>
      </c>
      <c r="D41" s="66" t="n">
        <f aca="false">AB41</f>
        <v>10.6488285713488</v>
      </c>
      <c r="E41" s="67" t="n">
        <f aca="false">IF(People!E64=0,0,(People!E84-People!E64)/(People!E64))</f>
        <v>7</v>
      </c>
      <c r="F41" s="67" t="n">
        <f aca="false">IF(People!F64=0,0,(People!F84-People!F64)/(People!F64))</f>
        <v>8</v>
      </c>
      <c r="G41" s="67" t="n">
        <f aca="false">IF(People!G64=0,0,(People!G84-People!G64)/(People!G64))</f>
        <v>9</v>
      </c>
      <c r="H41" s="67" t="n">
        <f aca="false">IF(People!H64=0,0,(People!H84-People!H64)/(People!H64))</f>
        <v>9</v>
      </c>
      <c r="I41" s="67" t="n">
        <f aca="false">IF(People!I64=0,0,(People!I84-People!I64)/(People!I64))</f>
        <v>9</v>
      </c>
      <c r="J41" s="67" t="n">
        <f aca="false">IF(People!J64=0,0,(People!J84-People!J64)/(People!J64))</f>
        <v>9</v>
      </c>
      <c r="K41" s="67" t="n">
        <f aca="false">IF(People!K64=0,0,(People!K84-People!K64)/(People!K64))</f>
        <v>9</v>
      </c>
      <c r="L41" s="67" t="n">
        <f aca="false">IF(People!L64=0,0,(People!L84-People!L64)/(People!L64))</f>
        <v>9</v>
      </c>
      <c r="M41" s="67" t="n">
        <f aca="false">IF(People!M64=0,0,(People!M84-People!M64)/(People!M64))</f>
        <v>8.90416666666667</v>
      </c>
      <c r="N41" s="67" t="n">
        <f aca="false">IF(People!N64=0,0,(People!N84-People!N64)/(People!N64))</f>
        <v>8.80942708333333</v>
      </c>
      <c r="O41" s="67" t="n">
        <f aca="false">IF(People!O64=0,0,(People!O84-People!O64)/(People!O64))</f>
        <v>8.71576830150463</v>
      </c>
      <c r="P41" s="67" t="n">
        <f aca="false">IF(People!P64=0,0,(People!P84-People!P64)/(People!P64))</f>
        <v>8.71901086244936</v>
      </c>
      <c r="Q41" s="67" t="n">
        <f aca="false">IF(People!Q64=0,0,(People!Q84-People!Q64)/(People!Q64))</f>
        <v>9.72112129528784</v>
      </c>
      <c r="R41" s="67" t="n">
        <f aca="false">IF(People!R64=0,0,(People!R84-People!R64)/(People!R64))</f>
        <v>9.70962596058883</v>
      </c>
      <c r="S41" s="67" t="n">
        <f aca="false">IF(People!S64=0,0,(People!S84-People!S64)/(People!S64))</f>
        <v>9.69720699396092</v>
      </c>
      <c r="T41" s="67" t="n">
        <f aca="false">IF(People!T64=0,0,(People!T84-People!T64)/(People!T64))</f>
        <v>9.68498161064807</v>
      </c>
      <c r="U41" s="67" t="n">
        <f aca="false">IF(People!U64=0,0,(People!U84-People!U64)/(People!U64))</f>
        <v>9.68543399518443</v>
      </c>
      <c r="V41" s="67" t="n">
        <f aca="false">IF(People!V64=0,0,(People!V84-People!V64)/(People!V64))</f>
        <v>9.68573634264532</v>
      </c>
      <c r="W41" s="67" t="n">
        <f aca="false">IF(People!W64=0,0,(People!W84-People!W64)/(People!W64))</f>
        <v>9.68587970596379</v>
      </c>
      <c r="X41" s="67" t="n">
        <f aca="false">IF(People!X64=0,0,(People!X84-People!X64)/(People!X64))</f>
        <v>9.68586847558003</v>
      </c>
      <c r="Y41" s="67" t="n">
        <f aca="false">IF(People!Y64=0,0,(People!Y84-People!Y64)/(People!Y64))</f>
        <v>10.6858630451731</v>
      </c>
      <c r="Z41" s="67" t="n">
        <f aca="false">IF(People!Z64=0,0,(People!Z84-People!Z64)/(People!Z64))</f>
        <v>10.673361461575</v>
      </c>
      <c r="AA41" s="67" t="n">
        <f aca="false">IF(People!AA64=0,0,(People!AA84-People!AA64)/(People!AA64))</f>
        <v>10.6610179396563</v>
      </c>
      <c r="AB41" s="67" t="n">
        <f aca="false">IF(People!AB64=0,0,(People!AB84-People!AB64)/(People!AB64))</f>
        <v>10.6488285713488</v>
      </c>
    </row>
    <row r="42" customFormat="false" ht="15" hidden="false" customHeight="false" outlineLevel="0" collapsed="false">
      <c r="A42" s="23" t="s">
        <v>690</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row>
    <row r="43" customFormat="false" ht="15" hidden="false" customHeight="false" outlineLevel="0" collapsed="false">
      <c r="A43" s="29" t="s">
        <v>679</v>
      </c>
      <c r="B43" s="60" t="s">
        <v>51</v>
      </c>
      <c r="C43" s="61" t="n">
        <f aca="false">SUM(E43:P43)</f>
        <v>2221873.00363952</v>
      </c>
      <c r="D43" s="61" t="n">
        <f aca="false">SUM(Q43:AB43)</f>
        <v>2392622.60482744</v>
      </c>
      <c r="E43" s="62" t="n">
        <f aca="false">Engagements!E593</f>
        <v>150112.6</v>
      </c>
      <c r="F43" s="62" t="n">
        <f aca="false">Engagements!F593</f>
        <v>136557.58</v>
      </c>
      <c r="G43" s="62" t="n">
        <f aca="false">Engagements!G593</f>
        <v>199053.67</v>
      </c>
      <c r="H43" s="62" t="n">
        <f aca="false">Engagements!H593</f>
        <v>131754.7</v>
      </c>
      <c r="I43" s="62" t="n">
        <f aca="false">Engagements!I593</f>
        <v>139717.95</v>
      </c>
      <c r="J43" s="62" t="n">
        <f aca="false">Engagements!J593</f>
        <v>160149.56</v>
      </c>
      <c r="K43" s="62" t="n">
        <f aca="false">Engagements!K593</f>
        <v>215467.73</v>
      </c>
      <c r="L43" s="62" t="n">
        <f aca="false">Engagements!L593</f>
        <v>158214.09</v>
      </c>
      <c r="M43" s="62" t="n">
        <f aca="false">Engagements!M593</f>
        <v>242014.33119303</v>
      </c>
      <c r="N43" s="62" t="n">
        <f aca="false">Engagements!N593</f>
        <v>237848.331387195</v>
      </c>
      <c r="O43" s="62" t="n">
        <f aca="false">Engagements!O593</f>
        <v>222502.258486139</v>
      </c>
      <c r="P43" s="62" t="n">
        <f aca="false">Engagements!P593</f>
        <v>228480.202573157</v>
      </c>
      <c r="Q43" s="62" t="n">
        <f aca="false">Engagements!Q593</f>
        <v>202069.915764334</v>
      </c>
      <c r="R43" s="62" t="n">
        <f aca="false">Engagements!R593</f>
        <v>197634.541526831</v>
      </c>
      <c r="S43" s="62" t="n">
        <f aca="false">Engagements!S593</f>
        <v>212009.301005783</v>
      </c>
      <c r="T43" s="62" t="n">
        <f aca="false">Engagements!T593</f>
        <v>207969.204726774</v>
      </c>
      <c r="U43" s="62" t="n">
        <f aca="false">Engagements!U593</f>
        <v>158425.140025422</v>
      </c>
      <c r="V43" s="62" t="n">
        <f aca="false">Engagements!V593</f>
        <v>210831.122219684</v>
      </c>
      <c r="W43" s="62" t="n">
        <f aca="false">Engagements!W593</f>
        <v>204103.863139931</v>
      </c>
      <c r="X43" s="62" t="n">
        <f aca="false">Engagements!X593</f>
        <v>178731.095763405</v>
      </c>
      <c r="Y43" s="62" t="n">
        <f aca="false">Engagements!Y593</f>
        <v>210727.949019942</v>
      </c>
      <c r="Z43" s="62" t="n">
        <f aca="false">Engagements!Z593</f>
        <v>191972.841561431</v>
      </c>
      <c r="AA43" s="62" t="n">
        <f aca="false">Engagements!AA593</f>
        <v>200799.136503938</v>
      </c>
      <c r="AB43" s="62" t="n">
        <f aca="false">Engagements!AB593</f>
        <v>217348.493569971</v>
      </c>
    </row>
    <row r="44" customFormat="false" ht="15" hidden="false" customHeight="false" outlineLevel="0" collapsed="false">
      <c r="A44" s="29" t="s">
        <v>680</v>
      </c>
      <c r="B44" s="60" t="s">
        <v>51</v>
      </c>
      <c r="C44" s="61" t="n">
        <f aca="false">SUM(E44:P44)</f>
        <v>115676.249762772</v>
      </c>
      <c r="D44" s="61" t="n">
        <f aca="false">SUM(Q44:AB44)</f>
        <v>141088.54511807</v>
      </c>
      <c r="E44" s="62" t="n">
        <f aca="false">Engagements!E594</f>
        <v>7418</v>
      </c>
      <c r="F44" s="62" t="n">
        <f aca="false">Engagements!F594</f>
        <v>5932.03</v>
      </c>
      <c r="G44" s="62" t="n">
        <f aca="false">Engagements!G594</f>
        <v>10299.97</v>
      </c>
      <c r="H44" s="62" t="n">
        <f aca="false">Engagements!H594</f>
        <v>7368.34</v>
      </c>
      <c r="I44" s="62" t="n">
        <f aca="false">Engagements!I594</f>
        <v>7383.55</v>
      </c>
      <c r="J44" s="62" t="n">
        <f aca="false">Engagements!J594</f>
        <v>9758.62</v>
      </c>
      <c r="K44" s="62" t="n">
        <f aca="false">Engagements!K594</f>
        <v>12255.46</v>
      </c>
      <c r="L44" s="62" t="n">
        <f aca="false">Engagements!L594</f>
        <v>8378.78</v>
      </c>
      <c r="M44" s="62" t="n">
        <f aca="false">Engagements!M594</f>
        <v>12032.6265106902</v>
      </c>
      <c r="N44" s="62" t="n">
        <f aca="false">Engagements!N594</f>
        <v>11591.6401987801</v>
      </c>
      <c r="O44" s="62" t="n">
        <f aca="false">Engagements!O594</f>
        <v>11476.7777517909</v>
      </c>
      <c r="P44" s="62" t="n">
        <f aca="false">Engagements!P594</f>
        <v>11780.4553015104</v>
      </c>
      <c r="Q44" s="62" t="n">
        <f aca="false">Engagements!Q594</f>
        <v>10383.2429625761</v>
      </c>
      <c r="R44" s="62" t="n">
        <f aca="false">Engagements!R594</f>
        <v>11120.36872402</v>
      </c>
      <c r="S44" s="62" t="n">
        <f aca="false">Engagements!S594</f>
        <v>11929.2370117801</v>
      </c>
      <c r="T44" s="62" t="n">
        <f aca="false">Engagements!T594</f>
        <v>11776.4167080231</v>
      </c>
      <c r="U44" s="62" t="n">
        <f aca="false">Engagements!U594</f>
        <v>8971.36419043292</v>
      </c>
      <c r="V44" s="62" t="n">
        <f aca="false">Engagements!V594</f>
        <v>12952.5985470828</v>
      </c>
      <c r="W44" s="62" t="n">
        <f aca="false">Engagements!W594</f>
        <v>12540.3503735087</v>
      </c>
      <c r="X44" s="62" t="n">
        <f aca="false">Engagements!X594</f>
        <v>10981.3984844462</v>
      </c>
      <c r="Y44" s="62" t="n">
        <f aca="false">Engagements!Y594</f>
        <v>12947.2959184796</v>
      </c>
      <c r="Z44" s="62" t="n">
        <f aca="false">Engagements!Z594</f>
        <v>11794.9590523612</v>
      </c>
      <c r="AA44" s="62" t="n">
        <f aca="false">Engagements!AA594</f>
        <v>12337.2538291347</v>
      </c>
      <c r="AB44" s="62" t="n">
        <f aca="false">Engagements!AB594</f>
        <v>13354.0593162249</v>
      </c>
    </row>
    <row r="45" customFormat="false" ht="15" hidden="false" customHeight="false" outlineLevel="0" collapsed="false">
      <c r="A45" s="68" t="s">
        <v>351</v>
      </c>
      <c r="B45" s="69"/>
      <c r="C45" s="70" t="n">
        <f aca="false">SUM(E45:P45)</f>
        <v>2337549.25340229</v>
      </c>
      <c r="D45" s="70" t="n">
        <f aca="false">SUM(Q45:AB45)</f>
        <v>2533711.14994551</v>
      </c>
      <c r="E45" s="70" t="n">
        <f aca="false">E43+E44</f>
        <v>157530.6</v>
      </c>
      <c r="F45" s="70" t="n">
        <f aca="false">F43+F44</f>
        <v>142489.61</v>
      </c>
      <c r="G45" s="70" t="n">
        <f aca="false">G43+G44</f>
        <v>209353.64</v>
      </c>
      <c r="H45" s="70" t="n">
        <f aca="false">H43+H44</f>
        <v>139123.04</v>
      </c>
      <c r="I45" s="70" t="n">
        <f aca="false">I43+I44</f>
        <v>147101.5</v>
      </c>
      <c r="J45" s="70" t="n">
        <f aca="false">J43+J44</f>
        <v>169908.18</v>
      </c>
      <c r="K45" s="70" t="n">
        <f aca="false">K43+K44</f>
        <v>227723.19</v>
      </c>
      <c r="L45" s="70" t="n">
        <f aca="false">L43+L44</f>
        <v>166592.87</v>
      </c>
      <c r="M45" s="70" t="n">
        <f aca="false">M43+M44</f>
        <v>254046.95770372</v>
      </c>
      <c r="N45" s="70" t="n">
        <f aca="false">N43+N44</f>
        <v>249439.971585975</v>
      </c>
      <c r="O45" s="70" t="n">
        <f aca="false">O43+O44</f>
        <v>233979.03623793</v>
      </c>
      <c r="P45" s="70" t="n">
        <f aca="false">P43+P44</f>
        <v>240260.657874668</v>
      </c>
      <c r="Q45" s="70" t="n">
        <f aca="false">Q43+Q44</f>
        <v>212453.15872691</v>
      </c>
      <c r="R45" s="70" t="n">
        <f aca="false">R43+R44</f>
        <v>208754.910250851</v>
      </c>
      <c r="S45" s="70" t="n">
        <f aca="false">S43+S44</f>
        <v>223938.538017563</v>
      </c>
      <c r="T45" s="70" t="n">
        <f aca="false">T43+T44</f>
        <v>219745.621434797</v>
      </c>
      <c r="U45" s="70" t="n">
        <f aca="false">U43+U44</f>
        <v>167396.504215855</v>
      </c>
      <c r="V45" s="70" t="n">
        <f aca="false">V43+V44</f>
        <v>223783.720766767</v>
      </c>
      <c r="W45" s="70" t="n">
        <f aca="false">W43+W44</f>
        <v>216644.21351344</v>
      </c>
      <c r="X45" s="70" t="n">
        <f aca="false">X43+X44</f>
        <v>189712.494247851</v>
      </c>
      <c r="Y45" s="70" t="n">
        <f aca="false">Y43+Y44</f>
        <v>223675.244938421</v>
      </c>
      <c r="Z45" s="70" t="n">
        <f aca="false">Z43+Z44</f>
        <v>203767.800613792</v>
      </c>
      <c r="AA45" s="70" t="n">
        <f aca="false">AA43+AA44</f>
        <v>213136.390333072</v>
      </c>
      <c r="AB45" s="70" t="n">
        <f aca="false">AB43+AB44</f>
        <v>230702.552886195</v>
      </c>
    </row>
    <row r="46" customFormat="false" ht="15" hidden="false" customHeight="false" outlineLevel="0" collapsed="false">
      <c r="A46" s="29" t="s">
        <v>499</v>
      </c>
      <c r="B46" s="60" t="s">
        <v>58</v>
      </c>
      <c r="C46" s="61" t="n">
        <f aca="false">SUM(E46:P46)</f>
        <v>-1150679.27541543</v>
      </c>
      <c r="D46" s="61" t="n">
        <f aca="false">SUM(Q46:AB46)</f>
        <v>-1346182.16895735</v>
      </c>
      <c r="E46" s="62" t="n">
        <f aca="false">-People!E107</f>
        <v>-92277.04</v>
      </c>
      <c r="F46" s="62" t="n">
        <f aca="false">-People!F107</f>
        <v>-92637.81</v>
      </c>
      <c r="G46" s="62" t="n">
        <f aca="false">-People!G107</f>
        <v>-92183.41</v>
      </c>
      <c r="H46" s="62" t="n">
        <f aca="false">-People!H107</f>
        <v>-91872.08</v>
      </c>
      <c r="I46" s="62" t="n">
        <f aca="false">-People!I107</f>
        <v>-98325.66</v>
      </c>
      <c r="J46" s="62" t="n">
        <f aca="false">-People!J107</f>
        <v>-98660.41</v>
      </c>
      <c r="K46" s="62" t="n">
        <f aca="false">-People!K107</f>
        <v>-90137.48</v>
      </c>
      <c r="L46" s="62" t="n">
        <f aca="false">-People!L107</f>
        <v>-90128.14</v>
      </c>
      <c r="M46" s="62" t="n">
        <f aca="false">-People!M107</f>
        <v>-95922.2202864583</v>
      </c>
      <c r="N46" s="62" t="n">
        <f aca="false">-People!N107</f>
        <v>-103466.709399732</v>
      </c>
      <c r="O46" s="62" t="n">
        <f aca="false">-People!O107</f>
        <v>-102613.173516729</v>
      </c>
      <c r="P46" s="62" t="n">
        <f aca="false">-People!P107</f>
        <v>-102455.142212509</v>
      </c>
      <c r="Q46" s="62" t="n">
        <f aca="false">-People!Q107</f>
        <v>-106730.906237919</v>
      </c>
      <c r="R46" s="62" t="n">
        <f aca="false">-People!R107</f>
        <v>-106743.942357627</v>
      </c>
      <c r="S46" s="62" t="n">
        <f aca="false">-People!S107</f>
        <v>-106746.988213722</v>
      </c>
      <c r="T46" s="62" t="n">
        <f aca="false">-People!T107</f>
        <v>-114136.963713494</v>
      </c>
      <c r="U46" s="62" t="n">
        <f aca="false">-People!U107</f>
        <v>-114075.183443325</v>
      </c>
      <c r="V46" s="62" t="n">
        <f aca="false">-People!V107</f>
        <v>-114014.073474314</v>
      </c>
      <c r="W46" s="62" t="n">
        <f aca="false">-People!W107</f>
        <v>-113953.511406285</v>
      </c>
      <c r="X46" s="62" t="n">
        <f aca="false">-People!X107</f>
        <v>-113955.041213883</v>
      </c>
      <c r="Y46" s="62" t="n">
        <f aca="false">-People!Y107</f>
        <v>-113956.042627078</v>
      </c>
      <c r="Z46" s="62" t="n">
        <f aca="false">-People!Z107</f>
        <v>-113956.526239272</v>
      </c>
      <c r="AA46" s="62" t="n">
        <f aca="false">-People!AA107</f>
        <v>-113956.501099533</v>
      </c>
      <c r="AB46" s="62" t="n">
        <f aca="false">-People!AB107</f>
        <v>-113956.488930902</v>
      </c>
    </row>
    <row r="47" customFormat="false" ht="15" hidden="false" customHeight="false" outlineLevel="0" collapsed="false">
      <c r="A47" s="29" t="s">
        <v>500</v>
      </c>
      <c r="B47" s="60" t="s">
        <v>58</v>
      </c>
      <c r="C47" s="61" t="n">
        <f aca="false">SUM(E47:P47)</f>
        <v>-100951.606304651</v>
      </c>
      <c r="D47" s="61" t="n">
        <f aca="false">SUM(Q47:AB47)</f>
        <v>-128499.134611068</v>
      </c>
      <c r="E47" s="62" t="n">
        <f aca="false">-(People!E105+People!E106)</f>
        <v>-7711.90373333333</v>
      </c>
      <c r="F47" s="62" t="n">
        <f aca="false">-(People!F105+People!F106)</f>
        <v>-7711.90373333333</v>
      </c>
      <c r="G47" s="62" t="n">
        <f aca="false">-(People!G105+People!G106)</f>
        <v>-7711.90373333333</v>
      </c>
      <c r="H47" s="62" t="n">
        <f aca="false">-(People!H105+People!H106)</f>
        <v>-7711.90373333333</v>
      </c>
      <c r="I47" s="62" t="n">
        <f aca="false">-(People!I105+People!I106)</f>
        <v>-7978.16623333333</v>
      </c>
      <c r="J47" s="62" t="n">
        <f aca="false">-(People!J105+People!J106)</f>
        <v>-7978.16623333333</v>
      </c>
      <c r="K47" s="62" t="n">
        <f aca="false">-(People!K105+People!K106)</f>
        <v>-7547.56776666667</v>
      </c>
      <c r="L47" s="62" t="n">
        <f aca="false">-(People!L105+People!L106)</f>
        <v>-7547.56776666667</v>
      </c>
      <c r="M47" s="62" t="n">
        <f aca="false">-(People!M105+People!M106)</f>
        <v>-9440.43044104167</v>
      </c>
      <c r="N47" s="62" t="n">
        <f aca="false">-(People!N105+People!N106)</f>
        <v>-9911.94171052865</v>
      </c>
      <c r="O47" s="62" t="n">
        <f aca="false">-(People!O105+People!O106)</f>
        <v>-9854.56811955792</v>
      </c>
      <c r="P47" s="62" t="n">
        <f aca="false">-(People!P105+People!P106)</f>
        <v>-9845.58310018982</v>
      </c>
      <c r="Q47" s="62" t="n">
        <f aca="false">-(People!Q105+People!Q106)</f>
        <v>-10233.8901622877</v>
      </c>
      <c r="R47" s="62" t="n">
        <f aca="false">-(People!R105+People!R106)</f>
        <v>-10234.7003565683</v>
      </c>
      <c r="S47" s="62" t="n">
        <f aca="false">-(People!S105+People!S106)</f>
        <v>-10234.8807914925</v>
      </c>
      <c r="T47" s="62" t="n">
        <f aca="false">-(People!T105+People!T106)</f>
        <v>-10878.4917011397</v>
      </c>
      <c r="U47" s="62" t="n">
        <f aca="false">-(People!U105+People!U106)</f>
        <v>-10873.1163738995</v>
      </c>
      <c r="V47" s="62" t="n">
        <f aca="false">-(People!V105+People!V106)</f>
        <v>-10867.7952391353</v>
      </c>
      <c r="W47" s="62" t="n">
        <f aca="false">-(People!W105+People!W106)</f>
        <v>-10862.5207490964</v>
      </c>
      <c r="X47" s="62" t="n">
        <f aca="false">-(People!X105+People!X106)</f>
        <v>-10862.6539019019</v>
      </c>
      <c r="Y47" s="62" t="n">
        <f aca="false">-(People!Y105+People!Y106)</f>
        <v>-10862.7411033915</v>
      </c>
      <c r="Z47" s="62" t="n">
        <f aca="false">-(People!Z105+People!Z106)</f>
        <v>-10862.78322276</v>
      </c>
      <c r="AA47" s="62" t="n">
        <f aca="false">-(People!AA105+People!AA106)</f>
        <v>-10862.7810345095</v>
      </c>
      <c r="AB47" s="62" t="n">
        <f aca="false">-(People!AB105+People!AB106)</f>
        <v>-10862.7799748861</v>
      </c>
    </row>
    <row r="48" customFormat="false" ht="15" hidden="false" customHeight="false" outlineLevel="0" collapsed="false">
      <c r="A48" s="29" t="s">
        <v>357</v>
      </c>
      <c r="B48" s="60" t="s">
        <v>56</v>
      </c>
      <c r="C48" s="61" t="n">
        <f aca="false">SUM(E48:P48)</f>
        <v>-96451.2579261885</v>
      </c>
      <c r="D48" s="61" t="n">
        <f aca="false">SUM(Q48:AB48)</f>
        <v>-4836.8159936947</v>
      </c>
      <c r="E48" s="62" t="n">
        <f aca="false">-Capacity!E140</f>
        <v>-42.7852474805201</v>
      </c>
      <c r="F48" s="62" t="n">
        <f aca="false">-Capacity!F140</f>
        <v>-43.5376572106374</v>
      </c>
      <c r="G48" s="62" t="n">
        <f aca="false">-Capacity!G140</f>
        <v>-2126.70225578141</v>
      </c>
      <c r="H48" s="62" t="n">
        <f aca="false">-Capacity!H140</f>
        <v>-27.6533800466034</v>
      </c>
      <c r="I48" s="62" t="n">
        <f aca="false">-Capacity!I140</f>
        <v>-44.7915058203008</v>
      </c>
      <c r="J48" s="62" t="n">
        <f aca="false">-Capacity!J140</f>
        <v>-60.9019583000284</v>
      </c>
      <c r="K48" s="62" t="n">
        <f aca="false">-Capacity!K140</f>
        <v>-19787.3490054911</v>
      </c>
      <c r="L48" s="62" t="n">
        <f aca="false">-Capacity!L140</f>
        <v>-13122.3104170692</v>
      </c>
      <c r="M48" s="62" t="n">
        <f aca="false">-Capacity!M140</f>
        <v>-33704.5908579968</v>
      </c>
      <c r="N48" s="62" t="n">
        <f aca="false">-Capacity!N140</f>
        <v>-17381.6223722367</v>
      </c>
      <c r="O48" s="62" t="n">
        <f aca="false">-Capacity!O140</f>
        <v>-4899.14470127764</v>
      </c>
      <c r="P48" s="62" t="n">
        <f aca="false">-Capacity!P140</f>
        <v>-5209.86856747747</v>
      </c>
      <c r="Q48" s="62" t="n">
        <f aca="false">-Capacity!Q140</f>
        <v>-4751.54367416726</v>
      </c>
      <c r="R48" s="62" t="n">
        <f aca="false">-Capacity!R140</f>
        <v>-43.254421336676</v>
      </c>
      <c r="S48" s="62" t="n">
        <f aca="false">-Capacity!S140</f>
        <v>-42.0178981907644</v>
      </c>
      <c r="T48" s="62" t="n">
        <f aca="false">-Capacity!T140</f>
        <v>-0</v>
      </c>
      <c r="U48" s="62" t="n">
        <f aca="false">-Capacity!U140</f>
        <v>-0</v>
      </c>
      <c r="V48" s="62" t="n">
        <f aca="false">-Capacity!V140</f>
        <v>-0</v>
      </c>
      <c r="W48" s="62" t="n">
        <f aca="false">-Capacity!W140</f>
        <v>-0</v>
      </c>
      <c r="X48" s="62" t="n">
        <f aca="false">-Capacity!X140</f>
        <v>-0</v>
      </c>
      <c r="Y48" s="62" t="n">
        <f aca="false">-Capacity!Y140</f>
        <v>-0</v>
      </c>
      <c r="Z48" s="62" t="n">
        <f aca="false">-Capacity!Z140</f>
        <v>-0</v>
      </c>
      <c r="AA48" s="62" t="n">
        <f aca="false">-Capacity!AA140</f>
        <v>-0</v>
      </c>
      <c r="AB48" s="62" t="n">
        <f aca="false">-Capacity!AB140</f>
        <v>-0</v>
      </c>
    </row>
    <row r="49" customFormat="false" ht="15" hidden="false" customHeight="false" outlineLevel="0" collapsed="false">
      <c r="A49" s="29" t="s">
        <v>358</v>
      </c>
      <c r="B49" s="60" t="s">
        <v>51</v>
      </c>
      <c r="C49" s="61" t="n">
        <f aca="false">SUM(E49:P49)</f>
        <v>-127129.564601481</v>
      </c>
      <c r="D49" s="61" t="n">
        <f aca="false">SUM(Q49:AB49)</f>
        <v>-144989.201634199</v>
      </c>
      <c r="E49" s="62" t="n">
        <f aca="false">-Engagements!E595</f>
        <v>-8357.12</v>
      </c>
      <c r="F49" s="62" t="n">
        <f aca="false">-Engagements!F595</f>
        <v>-7085.61</v>
      </c>
      <c r="G49" s="62" t="n">
        <f aca="false">-Engagements!G595</f>
        <v>-11397.16</v>
      </c>
      <c r="H49" s="62" t="n">
        <f aca="false">-Engagements!H595</f>
        <v>-7368.34</v>
      </c>
      <c r="I49" s="62" t="n">
        <f aca="false">-Engagements!I595</f>
        <v>-7383.55</v>
      </c>
      <c r="J49" s="62" t="n">
        <f aca="false">-Engagements!J595</f>
        <v>-9758.62</v>
      </c>
      <c r="K49" s="62" t="n">
        <f aca="false">-Engagements!K595</f>
        <v>-13326.71</v>
      </c>
      <c r="L49" s="62" t="n">
        <f aca="false">-Engagements!L595</f>
        <v>-9534.2</v>
      </c>
      <c r="M49" s="62" t="n">
        <f aca="false">-Engagements!M595</f>
        <v>-13574.0265106902</v>
      </c>
      <c r="N49" s="62" t="n">
        <f aca="false">-Engagements!N595</f>
        <v>-13087.382134264</v>
      </c>
      <c r="O49" s="62" t="n">
        <f aca="false">-Engagements!O595</f>
        <v>-12956.2616227586</v>
      </c>
      <c r="P49" s="62" t="n">
        <f aca="false">-Engagements!P595</f>
        <v>-13300.5843337685</v>
      </c>
      <c r="Q49" s="62" t="n">
        <f aca="false">-Engagements!Q595</f>
        <v>-11722.9074787051</v>
      </c>
      <c r="R49" s="62" t="n">
        <f aca="false">-Engagements!R595</f>
        <v>-11752.9490833014</v>
      </c>
      <c r="S49" s="62" t="n">
        <f aca="false">-Engagements!S595</f>
        <v>-12607.8232153729</v>
      </c>
      <c r="T49" s="62" t="n">
        <f aca="false">-Engagements!T595</f>
        <v>-12485.6734744902</v>
      </c>
      <c r="U49" s="62" t="n">
        <f aca="false">-Engagements!U595</f>
        <v>-9511.9328610916</v>
      </c>
      <c r="V49" s="62" t="n">
        <f aca="false">-Engagements!V595</f>
        <v>-12952.5985470828</v>
      </c>
      <c r="W49" s="62" t="n">
        <f aca="false">-Engagements!W595</f>
        <v>-12540.3503735087</v>
      </c>
      <c r="X49" s="62" t="n">
        <f aca="false">-Engagements!X595</f>
        <v>-10981.3984844462</v>
      </c>
      <c r="Y49" s="62" t="n">
        <f aca="false">-Engagements!Y595</f>
        <v>-12947.2959184796</v>
      </c>
      <c r="Z49" s="62" t="n">
        <f aca="false">-Engagements!Z595</f>
        <v>-11794.9590523612</v>
      </c>
      <c r="AA49" s="62" t="n">
        <f aca="false">-Engagements!AA595</f>
        <v>-12337.2538291347</v>
      </c>
      <c r="AB49" s="62" t="n">
        <f aca="false">-Engagements!AB595</f>
        <v>-13354.0593162249</v>
      </c>
    </row>
    <row r="50" customFormat="false" ht="15" hidden="false" customHeight="false" outlineLevel="0" collapsed="false">
      <c r="A50" s="68" t="s">
        <v>681</v>
      </c>
      <c r="B50" s="69"/>
      <c r="C50" s="70" t="n">
        <f aca="false">SUM(E50:P50)</f>
        <v>862337.549154542</v>
      </c>
      <c r="D50" s="70" t="n">
        <f aca="false">SUM(Q50:AB50)</f>
        <v>909203.828749197</v>
      </c>
      <c r="E50" s="70" t="n">
        <f aca="false">E45+E46+E47+E48+E49</f>
        <v>49141.7510191861</v>
      </c>
      <c r="F50" s="70" t="n">
        <f aca="false">F45+F46+F47+F48+F49</f>
        <v>35010.748609456</v>
      </c>
      <c r="G50" s="70" t="n">
        <f aca="false">G45+G46+G47+G48+G49</f>
        <v>95934.4640108853</v>
      </c>
      <c r="H50" s="70" t="n">
        <f aca="false">H45+H46+H47+H48+H49</f>
        <v>32143.0628866201</v>
      </c>
      <c r="I50" s="70" t="n">
        <f aca="false">I45+I46+I47+I48+I49</f>
        <v>33369.3322608464</v>
      </c>
      <c r="J50" s="70" t="n">
        <f aca="false">J45+J46+J47+J48+J49</f>
        <v>53450.0818083666</v>
      </c>
      <c r="K50" s="70" t="n">
        <f aca="false">K45+K46+K47+K48+K49</f>
        <v>96924.0832278422</v>
      </c>
      <c r="L50" s="70" t="n">
        <f aca="false">L45+L46+L47+L48+L49</f>
        <v>46260.6518162641</v>
      </c>
      <c r="M50" s="70" t="n">
        <f aca="false">M45+M46+M47+M48+M49</f>
        <v>101405.689607533</v>
      </c>
      <c r="N50" s="70" t="n">
        <f aca="false">N45+N46+N47+N48+N49</f>
        <v>105592.315969213</v>
      </c>
      <c r="O50" s="70" t="n">
        <f aca="false">O45+O46+O47+O48+O49</f>
        <v>103655.888277606</v>
      </c>
      <c r="P50" s="70" t="n">
        <f aca="false">P45+P46+P47+P48+P49</f>
        <v>109449.479660723</v>
      </c>
      <c r="Q50" s="70" t="n">
        <f aca="false">Q45+Q46+Q47+Q48+Q49</f>
        <v>79013.9111738309</v>
      </c>
      <c r="R50" s="70" t="n">
        <f aca="false">R45+R46+R47+R48+R49</f>
        <v>79980.0640320176</v>
      </c>
      <c r="S50" s="70" t="n">
        <f aca="false">S45+S46+S47+S48+S49</f>
        <v>94306.8278987845</v>
      </c>
      <c r="T50" s="70" t="n">
        <f aca="false">T45+T46+T47+T48+T49</f>
        <v>82244.4925456738</v>
      </c>
      <c r="U50" s="70" t="n">
        <f aca="false">U45+U46+U47+U48+U49</f>
        <v>32936.2715375383</v>
      </c>
      <c r="V50" s="70" t="n">
        <f aca="false">V45+V46+V47+V48+V49</f>
        <v>85949.2535062341</v>
      </c>
      <c r="W50" s="70" t="n">
        <f aca="false">W45+W46+W47+W48+W49</f>
        <v>79287.8309845498</v>
      </c>
      <c r="X50" s="70" t="n">
        <f aca="false">X45+X46+X47+X48+X49</f>
        <v>53913.4006476196</v>
      </c>
      <c r="Y50" s="70" t="n">
        <f aca="false">Y45+Y46+Y47+Y48+Y49</f>
        <v>85909.1652894725</v>
      </c>
      <c r="Z50" s="70" t="n">
        <f aca="false">Z45+Z46+Z47+Z48+Z49</f>
        <v>67153.5320993983</v>
      </c>
      <c r="AA50" s="70" t="n">
        <f aca="false">AA45+AA46+AA47+AA48+AA49</f>
        <v>75979.8543698953</v>
      </c>
      <c r="AB50" s="70" t="n">
        <f aca="false">AB45+AB46+AB47+AB48+AB49</f>
        <v>92529.2246641825</v>
      </c>
    </row>
    <row r="51" customFormat="false" ht="15" hidden="false" customHeight="false" outlineLevel="0" collapsed="false">
      <c r="A51" s="29" t="s">
        <v>682</v>
      </c>
      <c r="B51" s="60"/>
      <c r="C51" s="63" t="n">
        <f aca="false">IF(C45=0,0,C50/C45)</f>
        <v>0.36890668630807</v>
      </c>
      <c r="D51" s="63" t="n">
        <f aca="false">IF(D45=0,0,D50/D45)</f>
        <v>0.358842731054307</v>
      </c>
      <c r="E51" s="64" t="n">
        <f aca="false">IF(E45=0,0,E50/E45)</f>
        <v>0.311950510054467</v>
      </c>
      <c r="F51" s="64" t="n">
        <f aca="false">IF(F45=0,0,F50/F45)</f>
        <v>0.245707379011396</v>
      </c>
      <c r="G51" s="64" t="n">
        <f aca="false">IF(G45=0,0,G50/G45)</f>
        <v>0.458241203787454</v>
      </c>
      <c r="H51" s="64" t="n">
        <f aca="false">IF(H45=0,0,H50/H45)</f>
        <v>0.231040544302511</v>
      </c>
      <c r="I51" s="64" t="n">
        <f aca="false">IF(I45=0,0,I50/I45)</f>
        <v>0.226845628772286</v>
      </c>
      <c r="J51" s="64" t="n">
        <f aca="false">IF(J45=0,0,J50/J45)</f>
        <v>0.314582157306179</v>
      </c>
      <c r="K51" s="64" t="n">
        <f aca="false">IF(K45=0,0,K50/K45)</f>
        <v>0.425622367348017</v>
      </c>
      <c r="L51" s="64" t="n">
        <f aca="false">IF(L45=0,0,L50/L45)</f>
        <v>0.277686865087708</v>
      </c>
      <c r="M51" s="64" t="n">
        <f aca="false">IF(M45=0,0,M50/M45)</f>
        <v>0.399161204385674</v>
      </c>
      <c r="N51" s="64" t="n">
        <f aca="false">IF(N45=0,0,N50/N45)</f>
        <v>0.423317543286435</v>
      </c>
      <c r="O51" s="64" t="n">
        <f aca="false">IF(O45=0,0,O50/O45)</f>
        <v>0.443013570549971</v>
      </c>
      <c r="P51" s="64" t="n">
        <f aca="false">IF(P45=0,0,P50/P45)</f>
        <v>0.455544743067412</v>
      </c>
      <c r="Q51" s="64" t="n">
        <f aca="false">IF(Q45=0,0,Q50/Q45)</f>
        <v>0.371912150646799</v>
      </c>
      <c r="R51" s="64" t="n">
        <f aca="false">IF(R45=0,0,R50/R45)</f>
        <v>0.383129019269101</v>
      </c>
      <c r="S51" s="64" t="n">
        <f aca="false">IF(S45=0,0,S50/S45)</f>
        <v>0.421128175318303</v>
      </c>
      <c r="T51" s="64" t="n">
        <f aca="false">IF(T45=0,0,T50/T45)</f>
        <v>0.374271359805352</v>
      </c>
      <c r="U51" s="64" t="n">
        <f aca="false">IF(U45=0,0,U50/U45)</f>
        <v>0.196756029594666</v>
      </c>
      <c r="V51" s="64" t="n">
        <f aca="false">IF(V45=0,0,V50/V45)</f>
        <v>0.384072859329266</v>
      </c>
      <c r="W51" s="64" t="n">
        <f aca="false">IF(W45=0,0,W50/W45)</f>
        <v>0.365981761980599</v>
      </c>
      <c r="X51" s="64" t="n">
        <f aca="false">IF(X45=0,0,X50/X45)</f>
        <v>0.284184765275313</v>
      </c>
      <c r="Y51" s="64" t="n">
        <f aca="false">IF(Y45=0,0,Y50/Y45)</f>
        <v>0.384079898126963</v>
      </c>
      <c r="Z51" s="64" t="n">
        <f aca="false">IF(Z45=0,0,Z50/Z45)</f>
        <v>0.329559095682034</v>
      </c>
      <c r="AA51" s="64" t="n">
        <f aca="false">IF(AA45=0,0,AA50/AA45)</f>
        <v>0.356484663417449</v>
      </c>
      <c r="AB51" s="64" t="n">
        <f aca="false">IF(AB45=0,0,AB50/AB45)</f>
        <v>0.40107585939817</v>
      </c>
    </row>
    <row r="52" customFormat="false" ht="15" hidden="false" customHeight="false" outlineLevel="0" collapsed="false">
      <c r="A52" s="29" t="s">
        <v>683</v>
      </c>
      <c r="B52" s="60" t="s">
        <v>684</v>
      </c>
      <c r="C52" s="61" t="n">
        <f aca="false">SUM(E52:P52)</f>
        <v>-590142.139850879</v>
      </c>
      <c r="D52" s="61" t="n">
        <f aca="false">SUM(Q52:AB52)</f>
        <v>-577337.773544367</v>
      </c>
      <c r="E52" s="62" t="n">
        <f aca="false">IF(PL!E14=0,0,E45/PL!E14)*PL!E41</f>
        <v>-45804.4925934733</v>
      </c>
      <c r="F52" s="62" t="n">
        <f aca="false">IF(PL!F14=0,0,F45/PL!F14)*PL!F41</f>
        <v>-45274.8778146387</v>
      </c>
      <c r="G52" s="62" t="n">
        <f aca="false">IF(PL!G14=0,0,G45/PL!G14)*PL!G41</f>
        <v>-47772.7549025576</v>
      </c>
      <c r="H52" s="62" t="n">
        <f aca="false">IF(PL!H14=0,0,H45/PL!H14)*PL!H41</f>
        <v>-35391.2717571568</v>
      </c>
      <c r="I52" s="62" t="n">
        <f aca="false">IF(PL!I14=0,0,I45/PL!I14)*PL!I41</f>
        <v>-37249.4108040181</v>
      </c>
      <c r="J52" s="62" t="n">
        <f aca="false">IF(PL!J14=0,0,J45/PL!J14)*PL!J41</f>
        <v>-32991.3237054176</v>
      </c>
      <c r="K52" s="62" t="n">
        <f aca="false">IF(PL!K14=0,0,K45/PL!K14)*PL!K41</f>
        <v>-100310.233932952</v>
      </c>
      <c r="L52" s="62" t="n">
        <f aca="false">IF(PL!L14=0,0,L45/PL!L14)*PL!L41</f>
        <v>-45200.9233681667</v>
      </c>
      <c r="M52" s="62" t="n">
        <f aca="false">IF(PL!M14=0,0,M45/PL!M14)*PL!M41</f>
        <v>-48816.5448654926</v>
      </c>
      <c r="N52" s="62" t="n">
        <f aca="false">IF(PL!N14=0,0,N45/PL!N14)*PL!N41</f>
        <v>-57826.2941404771</v>
      </c>
      <c r="O52" s="62" t="n">
        <f aca="false">IF(PL!O14=0,0,O45/PL!O14)*PL!O41</f>
        <v>-47783.874562013</v>
      </c>
      <c r="P52" s="62" t="n">
        <f aca="false">IF(PL!P14=0,0,P45/PL!P14)*PL!P41</f>
        <v>-45720.1374045155</v>
      </c>
      <c r="Q52" s="62" t="n">
        <f aca="false">IF(PL!Q14=0,0,Q45/PL!Q14)*PL!Q41</f>
        <v>-55333.3534439601</v>
      </c>
      <c r="R52" s="62" t="n">
        <f aca="false">IF(PL!R14=0,0,R45/PL!R14)*PL!R41</f>
        <v>-43255.5127869414</v>
      </c>
      <c r="S52" s="62" t="n">
        <f aca="false">IF(PL!S14=0,0,S45/PL!S14)*PL!S41</f>
        <v>-46745.457089775</v>
      </c>
      <c r="T52" s="62" t="n">
        <f aca="false">IF(PL!T14=0,0,T45/PL!T14)*PL!T41</f>
        <v>-51093.7088625413</v>
      </c>
      <c r="U52" s="62" t="n">
        <f aca="false">IF(PL!U14=0,0,U45/PL!U14)*PL!U41</f>
        <v>-46672.9891010824</v>
      </c>
      <c r="V52" s="62" t="n">
        <f aca="false">IF(PL!V14=0,0,V45/PL!V14)*PL!V41</f>
        <v>-46517.7439546777</v>
      </c>
      <c r="W52" s="62" t="n">
        <f aca="false">IF(PL!W14=0,0,W45/PL!W14)*PL!W41</f>
        <v>-48007.3851860924</v>
      </c>
      <c r="X52" s="62" t="n">
        <f aca="false">IF(PL!X14=0,0,X45/PL!X14)*PL!X41</f>
        <v>-48823.9252249873</v>
      </c>
      <c r="Y52" s="62" t="n">
        <f aca="false">IF(PL!Y14=0,0,Y45/PL!Y14)*PL!Y41</f>
        <v>-48168.9388401183</v>
      </c>
      <c r="Z52" s="62" t="n">
        <f aca="false">IF(PL!Z14=0,0,Z45/PL!Z14)*PL!Z41</f>
        <v>-47485.3867164549</v>
      </c>
      <c r="AA52" s="62" t="n">
        <f aca="false">IF(PL!AA14=0,0,AA45/PL!AA14)*PL!AA41</f>
        <v>-47542.3336872952</v>
      </c>
      <c r="AB52" s="62" t="n">
        <f aca="false">IF(PL!AB14=0,0,AB45/PL!AB14)*PL!AB41</f>
        <v>-47691.0386504405</v>
      </c>
    </row>
    <row r="53" customFormat="false" ht="15" hidden="false" customHeight="false" outlineLevel="0" collapsed="false">
      <c r="A53" s="68" t="s">
        <v>685</v>
      </c>
      <c r="B53" s="69"/>
      <c r="C53" s="70" t="n">
        <f aca="false">SUM(E53:P53)</f>
        <v>272195.409303663</v>
      </c>
      <c r="D53" s="70" t="n">
        <f aca="false">SUM(Q53:AB53)</f>
        <v>331866.055204831</v>
      </c>
      <c r="E53" s="70" t="n">
        <f aca="false">E50+E52</f>
        <v>3337.2584257128</v>
      </c>
      <c r="F53" s="70" t="n">
        <f aca="false">F50+F52</f>
        <v>-10264.1292051826</v>
      </c>
      <c r="G53" s="70" t="n">
        <f aca="false">G50+G52</f>
        <v>48161.7091083277</v>
      </c>
      <c r="H53" s="70" t="n">
        <f aca="false">H50+H52</f>
        <v>-3248.20887053673</v>
      </c>
      <c r="I53" s="70" t="n">
        <f aca="false">I50+I52</f>
        <v>-3880.07854317177</v>
      </c>
      <c r="J53" s="70" t="n">
        <f aca="false">J50+J52</f>
        <v>20458.7581029491</v>
      </c>
      <c r="K53" s="70" t="n">
        <f aca="false">K50+K52</f>
        <v>-3386.15070510998</v>
      </c>
      <c r="L53" s="70" t="n">
        <f aca="false">L50+L52</f>
        <v>1059.72844809748</v>
      </c>
      <c r="M53" s="70" t="n">
        <f aca="false">M50+M52</f>
        <v>52589.1447420407</v>
      </c>
      <c r="N53" s="70" t="n">
        <f aca="false">N50+N52</f>
        <v>47766.0218287361</v>
      </c>
      <c r="O53" s="70" t="n">
        <f aca="false">O50+O52</f>
        <v>55872.0137155933</v>
      </c>
      <c r="P53" s="70" t="n">
        <f aca="false">P50+P52</f>
        <v>63729.3422562073</v>
      </c>
      <c r="Q53" s="70" t="n">
        <f aca="false">Q50+Q52</f>
        <v>23680.5577298708</v>
      </c>
      <c r="R53" s="70" t="n">
        <f aca="false">R50+R52</f>
        <v>36724.5512450761</v>
      </c>
      <c r="S53" s="70" t="n">
        <f aca="false">S50+S52</f>
        <v>47561.3708090095</v>
      </c>
      <c r="T53" s="70" t="n">
        <f aca="false">T50+T52</f>
        <v>31150.7836831325</v>
      </c>
      <c r="U53" s="70" t="n">
        <f aca="false">U50+U52</f>
        <v>-13736.7175635441</v>
      </c>
      <c r="V53" s="70" t="n">
        <f aca="false">V50+V52</f>
        <v>39431.5095515564</v>
      </c>
      <c r="W53" s="70" t="n">
        <f aca="false">W50+W52</f>
        <v>31280.4457984573</v>
      </c>
      <c r="X53" s="70" t="n">
        <f aca="false">X50+X52</f>
        <v>5089.47542263232</v>
      </c>
      <c r="Y53" s="70" t="n">
        <f aca="false">Y50+Y52</f>
        <v>37740.2264493541</v>
      </c>
      <c r="Z53" s="70" t="n">
        <f aca="false">Z50+Z52</f>
        <v>19668.1453829434</v>
      </c>
      <c r="AA53" s="70" t="n">
        <f aca="false">AA50+AA52</f>
        <v>28437.5206826001</v>
      </c>
      <c r="AB53" s="70" t="n">
        <f aca="false">AB50+AB52</f>
        <v>44838.186013742</v>
      </c>
    </row>
    <row r="54" customFormat="false" ht="15" hidden="false" customHeight="false" outlineLevel="0" collapsed="false">
      <c r="A54" s="29" t="s">
        <v>686</v>
      </c>
      <c r="B54" s="60" t="s">
        <v>56</v>
      </c>
      <c r="C54" s="66" t="n">
        <f aca="false">SUM(E54:P54)</f>
        <v>12264.6776048324</v>
      </c>
      <c r="D54" s="66" t="n">
        <f aca="false">SUM(Q54:AB54)</f>
        <v>12972.9873751963</v>
      </c>
      <c r="E54" s="67" t="n">
        <f aca="false">Capacity!E132</f>
        <v>836.7</v>
      </c>
      <c r="F54" s="67" t="n">
        <f aca="false">Capacity!F132</f>
        <v>746.7</v>
      </c>
      <c r="G54" s="67" t="n">
        <f aca="false">Capacity!G132</f>
        <v>1067.9</v>
      </c>
      <c r="H54" s="67" t="n">
        <f aca="false">Capacity!H132</f>
        <v>725.5</v>
      </c>
      <c r="I54" s="67" t="n">
        <f aca="false">Capacity!I132</f>
        <v>757.3</v>
      </c>
      <c r="J54" s="67" t="n">
        <f aca="false">Capacity!J132</f>
        <v>888.9</v>
      </c>
      <c r="K54" s="67" t="n">
        <f aca="false">Capacity!K132</f>
        <v>1172.4</v>
      </c>
      <c r="L54" s="67" t="n">
        <f aca="false">Capacity!L132</f>
        <v>871.8</v>
      </c>
      <c r="M54" s="67" t="n">
        <f aca="false">Capacity!M132</f>
        <v>1361.12369906902</v>
      </c>
      <c r="N54" s="67" t="n">
        <f aca="false">Capacity!N132</f>
        <v>1312.59371381349</v>
      </c>
      <c r="O54" s="67" t="n">
        <f aca="false">Capacity!O132</f>
        <v>1245.30240921253</v>
      </c>
      <c r="P54" s="67" t="n">
        <f aca="false">Capacity!P132</f>
        <v>1278.45778273735</v>
      </c>
      <c r="Q54" s="67" t="n">
        <f aca="false">Capacity!Q132</f>
        <v>1093.98439090724</v>
      </c>
      <c r="R54" s="67" t="n">
        <f aca="false">Capacity!R132</f>
        <v>1073.7005287648</v>
      </c>
      <c r="S54" s="67" t="n">
        <f aca="false">Capacity!S132</f>
        <v>1151.79791927165</v>
      </c>
      <c r="T54" s="67" t="n">
        <f aca="false">Capacity!T132</f>
        <v>1125.47614844795</v>
      </c>
      <c r="U54" s="67" t="n">
        <f aca="false">Capacity!U132</f>
        <v>857.426841358218</v>
      </c>
      <c r="V54" s="67" t="n">
        <f aca="false">Capacity!V132</f>
        <v>1143.21258138418</v>
      </c>
      <c r="W54" s="67" t="n">
        <f aca="false">Capacity!W132</f>
        <v>1106.82704090986</v>
      </c>
      <c r="X54" s="67" t="n">
        <f aca="false">Capacity!X132</f>
        <v>969.231993331524</v>
      </c>
      <c r="Y54" s="67" t="n">
        <f aca="false">Capacity!Y132</f>
        <v>1142.74456473783</v>
      </c>
      <c r="Z54" s="67" t="n">
        <f aca="false">Capacity!Z132</f>
        <v>1041.03786869914</v>
      </c>
      <c r="AA54" s="67" t="n">
        <f aca="false">Capacity!AA132</f>
        <v>1088.90148536052</v>
      </c>
      <c r="AB54" s="67" t="n">
        <f aca="false">Capacity!AB132</f>
        <v>1178.64601202338</v>
      </c>
    </row>
    <row r="55" customFormat="false" ht="15" hidden="false" customHeight="false" outlineLevel="0" collapsed="false">
      <c r="A55" s="29" t="s">
        <v>687</v>
      </c>
      <c r="B55" s="60" t="s">
        <v>56</v>
      </c>
      <c r="C55" s="63" t="n">
        <f aca="false">Capacity!C135</f>
        <v>0.705008572471635</v>
      </c>
      <c r="D55" s="63" t="n">
        <f aca="false">Capacity!D135</f>
        <v>0.6859899867671</v>
      </c>
      <c r="E55" s="65" t="n">
        <f aca="false">Capacity!E135</f>
        <v>0.683333333333333</v>
      </c>
      <c r="F55" s="65" t="n">
        <f aca="false">Capacity!F135</f>
        <v>0.628282828282828</v>
      </c>
      <c r="G55" s="65" t="n">
        <f aca="false">Capacity!G135</f>
        <v>0.77636660724896</v>
      </c>
      <c r="H55" s="65" t="n">
        <f aca="false">Capacity!H135</f>
        <v>0.610521885521886</v>
      </c>
      <c r="I55" s="65" t="n">
        <f aca="false">Capacity!I135</f>
        <v>0.671099290780142</v>
      </c>
      <c r="J55" s="65" t="n">
        <f aca="false">Capacity!J135</f>
        <v>0.613604972375691</v>
      </c>
      <c r="K55" s="65" t="n">
        <f aca="false">Capacity!K135</f>
        <v>0.717663817663818</v>
      </c>
      <c r="L55" s="65" t="n">
        <f aca="false">Capacity!L135</f>
        <v>0.697368421052632</v>
      </c>
      <c r="M55" s="65" t="n">
        <f aca="false">Capacity!M135</f>
        <v>0.719996939511519</v>
      </c>
      <c r="N55" s="65" t="n">
        <f aca="false">Capacity!N135</f>
        <v>0.739941331940801</v>
      </c>
      <c r="O55" s="65" t="n">
        <f aca="false">Capacity!O135</f>
        <v>0.773589515159036</v>
      </c>
      <c r="P55" s="65" t="n">
        <f aca="false">Capacity!P135</f>
        <v>0.773576770375802</v>
      </c>
      <c r="Q55" s="65" t="n">
        <f aca="false">Capacity!Q135</f>
        <v>0.773426885971772</v>
      </c>
      <c r="R55" s="65" t="n">
        <f aca="false">Capacity!R135</f>
        <v>0.760985453203609</v>
      </c>
      <c r="S55" s="65" t="n">
        <f aca="false">Capacity!S135</f>
        <v>0.760988498330263</v>
      </c>
      <c r="T55" s="65" t="n">
        <f aca="false">Capacity!T135</f>
        <v>0.670839796055188</v>
      </c>
      <c r="U55" s="65" t="n">
        <f aca="false">Capacity!U135</f>
        <v>0.670873701596885</v>
      </c>
      <c r="V55" s="65" t="n">
        <f aca="false">Capacity!V135</f>
        <v>0.660636542396563</v>
      </c>
      <c r="W55" s="65" t="n">
        <f aca="false">Capacity!W135</f>
        <v>0.660665076478624</v>
      </c>
      <c r="X55" s="65" t="n">
        <f aca="false">Capacity!X135</f>
        <v>0.660664356584504</v>
      </c>
      <c r="Y55" s="65" t="n">
        <f aca="false">Capacity!Y135</f>
        <v>0.660663884782317</v>
      </c>
      <c r="Z55" s="65" t="n">
        <f aca="false">Capacity!Z135</f>
        <v>0.660663656826336</v>
      </c>
      <c r="AA55" s="65" t="n">
        <f aca="false">Capacity!AA135</f>
        <v>0.6606636686573</v>
      </c>
      <c r="AB55" s="65" t="n">
        <f aca="false">Capacity!AB135</f>
        <v>0.6606636743901</v>
      </c>
    </row>
    <row r="56" customFormat="false" ht="15" hidden="false" customHeight="false" outlineLevel="0" collapsed="false">
      <c r="A56" s="29" t="s">
        <v>688</v>
      </c>
      <c r="B56" s="60" t="s">
        <v>51</v>
      </c>
      <c r="C56" s="63" t="n">
        <f aca="false">IF(Engagements!C592=0,0,C43/Engagements!C592)</f>
        <v>0.894492488661452</v>
      </c>
      <c r="D56" s="63" t="n">
        <f aca="false">IF(Engagements!D592=0,0,D43/Engagements!D592)</f>
        <v>0.884331486114286</v>
      </c>
      <c r="E56" s="65" t="n">
        <f aca="false">IF(Engagements!E592=0,0,E43/Engagements!E592)</f>
        <v>0.876290435132456</v>
      </c>
      <c r="F56" s="65" t="n">
        <f aca="false">IF(Engagements!F592=0,0,F43/Engagements!F592)</f>
        <v>0.893117990590179</v>
      </c>
      <c r="G56" s="65" t="n">
        <f aca="false">IF(Engagements!G592=0,0,G43/Engagements!G592)</f>
        <v>0.916595450132624</v>
      </c>
      <c r="H56" s="65" t="n">
        <f aca="false">IF(Engagements!H592=0,0,H43/Engagements!H592)</f>
        <v>0.896059634160914</v>
      </c>
      <c r="I56" s="65" t="n">
        <f aca="false">IF(Engagements!I592=0,0,I43/Engagements!I592)</f>
        <v>0.909042378249027</v>
      </c>
      <c r="J56" s="65" t="n">
        <f aca="false">IF(Engagements!J592=0,0,J43/Engagements!J592)</f>
        <v>0.888684559009261</v>
      </c>
      <c r="K56" s="65" t="n">
        <f aca="false">IF(Engagements!K592=0,0,K43/Engagements!K592)</f>
        <v>0.904129802298671</v>
      </c>
      <c r="L56" s="65" t="n">
        <f aca="false">IF(Engagements!L592=0,0,L43/Engagements!L592)</f>
        <v>0.892763587969304</v>
      </c>
      <c r="M56" s="65" t="n">
        <f aca="false">IF(Engagements!M592=0,0,M43/Engagements!M592)</f>
        <v>0.878380589960354</v>
      </c>
      <c r="N56" s="65" t="n">
        <f aca="false">IF(Engagements!N592=0,0,N43/Engagements!N592)</f>
        <v>0.895158184502757</v>
      </c>
      <c r="O56" s="65" t="n">
        <f aca="false">IF(Engagements!O592=0,0,O43/Engagements!O592)</f>
        <v>0.893261736405344</v>
      </c>
      <c r="P56" s="65" t="n">
        <f aca="false">IF(Engagements!P592=0,0,P43/Engagements!P592)</f>
        <v>0.893267738362281</v>
      </c>
      <c r="Q56" s="65" t="n">
        <f aca="false">IF(Engagements!Q592=0,0,Q43/Engagements!Q592)</f>
        <v>0.887746099021232</v>
      </c>
      <c r="R56" s="65" t="n">
        <f aca="false">IF(Engagements!R592=0,0,R43/Engagements!R592)</f>
        <v>0.886508208562631</v>
      </c>
      <c r="S56" s="65" t="n">
        <f aca="false">IF(Engagements!S592=0,0,S43/Engagements!S592)</f>
        <v>0.88650818760184</v>
      </c>
      <c r="T56" s="65" t="n">
        <f aca="false">IF(Engagements!T592=0,0,T43/Engagements!T592)</f>
        <v>0.884401450979369</v>
      </c>
      <c r="U56" s="65" t="n">
        <f aca="false">IF(Engagements!U592=0,0,U43/Engagements!U592)</f>
        <v>0.884402066997781</v>
      </c>
      <c r="V56" s="65" t="n">
        <f aca="false">IF(Engagements!V592=0,0,V43/Engagements!V592)</f>
        <v>0.8832</v>
      </c>
      <c r="W56" s="65" t="n">
        <f aca="false">IF(Engagements!W592=0,0,W43/Engagements!W592)</f>
        <v>0.8832</v>
      </c>
      <c r="X56" s="65" t="n">
        <f aca="false">IF(Engagements!X592=0,0,X43/Engagements!X592)</f>
        <v>0.8832</v>
      </c>
      <c r="Y56" s="65" t="n">
        <f aca="false">IF(Engagements!Y592=0,0,Y43/Engagements!Y592)</f>
        <v>0.8832</v>
      </c>
      <c r="Z56" s="65" t="n">
        <f aca="false">IF(Engagements!Z592=0,0,Z43/Engagements!Z592)</f>
        <v>0.8832</v>
      </c>
      <c r="AA56" s="65" t="n">
        <f aca="false">IF(Engagements!AA592=0,0,AA43/Engagements!AA592)</f>
        <v>0.8832</v>
      </c>
      <c r="AB56" s="65" t="n">
        <f aca="false">IF(Engagements!AB592=0,0,AB43/Engagements!AB592)</f>
        <v>0.8832</v>
      </c>
    </row>
    <row r="57" customFormat="false" ht="15" hidden="false" customHeight="false" outlineLevel="0" collapsed="false">
      <c r="A57" s="29" t="s">
        <v>318</v>
      </c>
      <c r="B57" s="60" t="s">
        <v>391</v>
      </c>
      <c r="C57" s="61" t="n">
        <f aca="false">AVERAGE(E57:P57)</f>
        <v>228629.643607782</v>
      </c>
      <c r="D57" s="61" t="n">
        <f aca="false">AVERAGE(Q57:AB57)</f>
        <v>214527.392040572</v>
      </c>
      <c r="E57" s="62" t="n">
        <f aca="false">IF(People!E108=0,0,E43*12/People!E108)</f>
        <v>200150.133333333</v>
      </c>
      <c r="F57" s="62" t="n">
        <f aca="false">IF(People!F108=0,0,F43*12/People!F108)</f>
        <v>182076.773333333</v>
      </c>
      <c r="G57" s="62" t="n">
        <f aca="false">IF(People!G108=0,0,G43*12/People!G108)</f>
        <v>265404.893333333</v>
      </c>
      <c r="H57" s="62" t="n">
        <f aca="false">IF(People!H108=0,0,H43*12/People!H108)</f>
        <v>175672.933333333</v>
      </c>
      <c r="I57" s="62" t="n">
        <f aca="false">IF(People!I108=0,0,I43*12/People!I108)</f>
        <v>167661.54</v>
      </c>
      <c r="J57" s="62" t="n">
        <f aca="false">IF(People!J108=0,0,J43*12/People!J108)</f>
        <v>192179.472</v>
      </c>
      <c r="K57" s="62" t="n">
        <f aca="false">IF(People!K108=0,0,K43*12/People!K108)</f>
        <v>287290.306666667</v>
      </c>
      <c r="L57" s="62" t="n">
        <f aca="false">IF(People!L108=0,0,L43*12/People!L108)</f>
        <v>210952.12</v>
      </c>
      <c r="M57" s="62" t="n">
        <f aca="false">IF(People!M108=0,0,M43*12/People!M108)</f>
        <v>292857.678082322</v>
      </c>
      <c r="N57" s="62" t="n">
        <f aca="false">IF(People!N108=0,0,N43*12/People!N108)</f>
        <v>263744.263356129</v>
      </c>
      <c r="O57" s="62" t="n">
        <f aca="false">IF(People!O108=0,0,O43*12/People!O108)</f>
        <v>249175.272113791</v>
      </c>
      <c r="P57" s="62" t="n">
        <f aca="false">IF(People!P108=0,0,P43*12/People!P108)</f>
        <v>256390.337741141</v>
      </c>
      <c r="Q57" s="62" t="n">
        <f aca="false">IF(People!Q108=0,0,Q43*12/People!Q108)</f>
        <v>226964.365790997</v>
      </c>
      <c r="R57" s="62" t="n">
        <f aca="false">IF(People!R108=0,0,R43*12/People!R108)</f>
        <v>221948.794232269</v>
      </c>
      <c r="S57" s="62" t="n">
        <f aca="false">IF(People!S108=0,0,S43*12/People!S108)</f>
        <v>238083.564908483</v>
      </c>
      <c r="T57" s="62" t="n">
        <f aca="false">IF(People!T108=0,0,T43*12/People!T108)</f>
        <v>220152.952935395</v>
      </c>
      <c r="U57" s="62" t="n">
        <f aca="false">IF(People!U108=0,0,U43*12/People!U108)</f>
        <v>167786.9340591</v>
      </c>
      <c r="V57" s="62" t="n">
        <f aca="false">IF(People!V108=0,0,V43*12/People!V108)</f>
        <v>223395.755826277</v>
      </c>
      <c r="W57" s="62" t="n">
        <f aca="false">IF(People!W108=0,0,W43*12/People!W108)</f>
        <v>216369.367494289</v>
      </c>
      <c r="X57" s="62" t="n">
        <f aca="false">IF(People!X108=0,0,X43*12/People!X108)</f>
        <v>189469.58378772</v>
      </c>
      <c r="Y57" s="62" t="n">
        <f aca="false">IF(People!Y108=0,0,Y43*12/People!Y108)</f>
        <v>223387.127150482</v>
      </c>
      <c r="Z57" s="62" t="n">
        <f aca="false">IF(People!Z108=0,0,Z43*12/People!Z108)</f>
        <v>203504.568811179</v>
      </c>
      <c r="AA57" s="62" t="n">
        <f aca="false">IF(People!AA108=0,0,AA43*12/People!AA108)</f>
        <v>212861.097167922</v>
      </c>
      <c r="AB57" s="62" t="n">
        <f aca="false">IF(People!AB108=0,0,AB43*12/People!AB108)</f>
        <v>230404.592322749</v>
      </c>
    </row>
    <row r="58" customFormat="false" ht="15" hidden="false" customHeight="false" outlineLevel="0" collapsed="false">
      <c r="A58" s="29" t="s">
        <v>331</v>
      </c>
      <c r="B58" s="60"/>
      <c r="C58" s="66" t="n">
        <f aca="false">P58</f>
        <v>9.6937041974103</v>
      </c>
      <c r="D58" s="66" t="n">
        <f aca="false">AB58</f>
        <v>10.3200084101888</v>
      </c>
      <c r="E58" s="67" t="n">
        <f aca="false">IF(People!E88=0,0,(People!E108-People!E88)/(People!E88))</f>
        <v>8</v>
      </c>
      <c r="F58" s="67" t="n">
        <f aca="false">IF(People!F88=0,0,(People!F108-People!F88)/(People!F88))</f>
        <v>8</v>
      </c>
      <c r="G58" s="67" t="n">
        <f aca="false">IF(People!G88=0,0,(People!G108-People!G88)/(People!G88))</f>
        <v>8</v>
      </c>
      <c r="H58" s="67" t="n">
        <f aca="false">IF(People!H88=0,0,(People!H108-People!H88)/(People!H88))</f>
        <v>8</v>
      </c>
      <c r="I58" s="67" t="n">
        <f aca="false">IF(People!I88=0,0,(People!I108-People!I88)/(People!I88))</f>
        <v>9</v>
      </c>
      <c r="J58" s="67" t="n">
        <f aca="false">IF(People!J88=0,0,(People!J108-People!J88)/(People!J88))</f>
        <v>9</v>
      </c>
      <c r="K58" s="67" t="n">
        <f aca="false">IF(People!K88=0,0,(People!K108-People!K88)/(People!K88))</f>
        <v>8</v>
      </c>
      <c r="L58" s="67" t="n">
        <f aca="false">IF(People!L88=0,0,(People!L108-People!L88)/(People!L88))</f>
        <v>8</v>
      </c>
      <c r="M58" s="67" t="n">
        <f aca="false">IF(People!M88=0,0,(People!M108-People!M88)/(People!M88))</f>
        <v>8.91666666666667</v>
      </c>
      <c r="N58" s="67" t="n">
        <f aca="false">IF(People!N88=0,0,(People!N108-People!N88)/(People!N88))</f>
        <v>9.82177083333333</v>
      </c>
      <c r="O58" s="67" t="n">
        <f aca="false">IF(People!O88=0,0,(People!O108-People!O88)/(People!O88))</f>
        <v>9.71545775462963</v>
      </c>
      <c r="P58" s="67" t="n">
        <f aca="false">IF(People!P88=0,0,(People!P108-People!P88)/(People!P88))</f>
        <v>9.6937041974103</v>
      </c>
      <c r="Q58" s="67" t="n">
        <f aca="false">IF(People!Q88=0,0,(People!Q108-People!Q88)/(People!Q88))</f>
        <v>9.68378721356176</v>
      </c>
      <c r="R58" s="67" t="n">
        <f aca="false">IF(People!R88=0,0,(People!R108-People!R88)/(People!R88))</f>
        <v>9.68541285175933</v>
      </c>
      <c r="S58" s="67" t="n">
        <f aca="false">IF(People!S88=0,0,(People!S108-People!S88)/(People!S88))</f>
        <v>9.68579266715585</v>
      </c>
      <c r="T58" s="67" t="n">
        <f aca="false">IF(People!T88=0,0,(People!T108-People!T88)/(People!T88))</f>
        <v>10.3358936296151</v>
      </c>
      <c r="U58" s="67" t="n">
        <f aca="false">IF(People!U88=0,0,(People!U108-People!U88)/(People!U88))</f>
        <v>10.3304512712261</v>
      </c>
      <c r="V58" s="67" t="n">
        <f aca="false">IF(People!V88=0,0,(People!V108-People!V88)/(People!V88))</f>
        <v>10.325074002765</v>
      </c>
      <c r="W58" s="67" t="n">
        <f aca="false">IF(People!W88=0,0,(People!W108-People!W88)/(People!W88))</f>
        <v>10.3197463487701</v>
      </c>
      <c r="X58" s="67" t="n">
        <f aca="false">IF(People!X88=0,0,(People!X108-People!X88)/(People!X88))</f>
        <v>10.3198810399238</v>
      </c>
      <c r="Y58" s="67" t="n">
        <f aca="false">IF(People!Y88=0,0,(People!Y108-People!Y88)/(People!Y88))</f>
        <v>10.3199691517401</v>
      </c>
      <c r="Z58" s="67" t="n">
        <f aca="false">IF(People!Z88=0,0,(People!Z108-People!Z88)/(People!Z88))</f>
        <v>10.3200116940599</v>
      </c>
      <c r="AA58" s="67" t="n">
        <f aca="false">IF(People!AA88=0,0,(People!AA108-People!AA88)/(People!AA88))</f>
        <v>10.3200094808605</v>
      </c>
      <c r="AB58" s="67" t="n">
        <f aca="false">IF(People!AB88=0,0,(People!AB108-People!AB88)/(People!AB88))</f>
        <v>10.3200084101888</v>
      </c>
    </row>
    <row r="59" customFormat="false" ht="15" hidden="false" customHeight="false" outlineLevel="0" collapsed="false">
      <c r="A59" s="23" t="s">
        <v>691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row>
    <row r="60" customFormat="false" ht="15" hidden="false" customHeight="false" outlineLevel="0" collapsed="false">
      <c r="A60" s="29" t="s">
        <v>312</v>
      </c>
      <c r="B60" s="60" t="s">
        <v>692</v>
      </c>
      <c r="C60" s="61" t="n">
        <f aca="false">SUM(E60:P60)</f>
        <v>7663693.79241965</v>
      </c>
      <c r="D60" s="61" t="n">
        <f aca="false">SUM(Q60:AB60)</f>
        <v>8138917.57368681</v>
      </c>
      <c r="E60" s="71" t="n">
        <f aca="false">E11+E28+E45</f>
        <v>479492.6</v>
      </c>
      <c r="F60" s="71" t="n">
        <f aca="false">F11+F28+F45</f>
        <v>525340.41</v>
      </c>
      <c r="G60" s="71" t="n">
        <f aca="false">G11+G28+G45</f>
        <v>659078.81</v>
      </c>
      <c r="H60" s="71" t="n">
        <f aca="false">H11+H28+H45</f>
        <v>568656.44</v>
      </c>
      <c r="I60" s="71" t="n">
        <f aca="false">I11+I28+I45</f>
        <v>589387.68</v>
      </c>
      <c r="J60" s="71" t="n">
        <f aca="false">J11+J28+J45</f>
        <v>744508.54</v>
      </c>
      <c r="K60" s="71" t="n">
        <f aca="false">K11+K28+K45</f>
        <v>626899.04</v>
      </c>
      <c r="L60" s="71" t="n">
        <f aca="false">L11+L28+L45</f>
        <v>510901.62</v>
      </c>
      <c r="M60" s="71" t="n">
        <f aca="false">M11+M28+M45</f>
        <v>779210.227703403</v>
      </c>
      <c r="N60" s="71" t="n">
        <f aca="false">N11+N28+N45</f>
        <v>707517.867793864</v>
      </c>
      <c r="O60" s="71" t="n">
        <f aca="false">O11+O28+O45</f>
        <v>709361.236590174</v>
      </c>
      <c r="P60" s="71" t="n">
        <f aca="false">P11+P28+P45</f>
        <v>763339.320332212</v>
      </c>
      <c r="Q60" s="71" t="n">
        <f aca="false">Q11+Q28+Q45</f>
        <v>698289.27242846</v>
      </c>
      <c r="R60" s="71" t="n">
        <f aca="false">R11+R28+R45</f>
        <v>724370.058409321</v>
      </c>
      <c r="S60" s="71" t="n">
        <f aca="false">S11+S28+S45</f>
        <v>718015.45755546</v>
      </c>
      <c r="T60" s="71" t="n">
        <f aca="false">T11+T28+T45</f>
        <v>717170.640657371</v>
      </c>
      <c r="U60" s="71" t="n">
        <f aca="false">U11+U28+U45</f>
        <v>539393.17757938</v>
      </c>
      <c r="V60" s="71" t="n">
        <f aca="false">V11+V28+V45</f>
        <v>716001.99261945</v>
      </c>
      <c r="W60" s="71" t="n">
        <f aca="false">W11+W28+W45</f>
        <v>680780.574170406</v>
      </c>
      <c r="X60" s="71" t="n">
        <f aca="false">X11+X28+X45</f>
        <v>583680.693355902</v>
      </c>
      <c r="Y60" s="71" t="n">
        <f aca="false">Y11+Y28+Y45</f>
        <v>717140.251582205</v>
      </c>
      <c r="Z60" s="71" t="n">
        <f aca="false">Z11+Z28+Z45</f>
        <v>646183.212622156</v>
      </c>
      <c r="AA60" s="71" t="n">
        <f aca="false">AA11+AA28+AA45</f>
        <v>671458.270286347</v>
      </c>
      <c r="AB60" s="71" t="n">
        <f aca="false">AB11+AB28+AB45</f>
        <v>726433.972420348</v>
      </c>
    </row>
    <row r="61" customFormat="false" ht="15" hidden="false" customHeight="false" outlineLevel="0" collapsed="false">
      <c r="A61" s="29" t="s">
        <v>693</v>
      </c>
      <c r="B61" s="60" t="s">
        <v>692</v>
      </c>
      <c r="C61" s="61" t="n">
        <f aca="false">SUM(E61:P61)</f>
        <v>2826730.27216191</v>
      </c>
      <c r="D61" s="61" t="n">
        <f aca="false">SUM(Q61:AB61)</f>
        <v>2835722.28581213</v>
      </c>
      <c r="E61" s="71" t="n">
        <f aca="false">E16+E33+E50</f>
        <v>123040.185333333</v>
      </c>
      <c r="F61" s="71" t="n">
        <f aca="false">F16+F33+F50</f>
        <v>147416.095333333</v>
      </c>
      <c r="G61" s="71" t="n">
        <f aca="false">G16+G33+G50</f>
        <v>274029.872833333</v>
      </c>
      <c r="H61" s="71" t="n">
        <f aca="false">H16+H33+H50</f>
        <v>186125.8213</v>
      </c>
      <c r="I61" s="71" t="n">
        <f aca="false">I16+I33+I50</f>
        <v>177603.6988</v>
      </c>
      <c r="J61" s="71" t="n">
        <f aca="false">J16+J33+J50</f>
        <v>305363.9688</v>
      </c>
      <c r="K61" s="71" t="n">
        <f aca="false">K16+K33+K50</f>
        <v>224462.8688</v>
      </c>
      <c r="L61" s="71" t="n">
        <f aca="false">L16+L33+L50</f>
        <v>124177.0988</v>
      </c>
      <c r="M61" s="71" t="n">
        <f aca="false">M16+M33+M50</f>
        <v>332657.247339235</v>
      </c>
      <c r="N61" s="71" t="n">
        <f aca="false">N16+N33+N50</f>
        <v>283872.621812297</v>
      </c>
      <c r="O61" s="71" t="n">
        <f aca="false">O16+O33+O50</f>
        <v>304507.098373673</v>
      </c>
      <c r="P61" s="71" t="n">
        <f aca="false">P16+P33+P50</f>
        <v>343473.694636705</v>
      </c>
      <c r="Q61" s="71" t="n">
        <f aca="false">Q16+Q33+Q50</f>
        <v>251019.139577825</v>
      </c>
      <c r="R61" s="71" t="n">
        <f aca="false">R16+R33+R50</f>
        <v>275271.392482024</v>
      </c>
      <c r="S61" s="71" t="n">
        <f aca="false">S16+S33+S50</f>
        <v>283984.482352159</v>
      </c>
      <c r="T61" s="71" t="n">
        <f aca="false">T16+T33+T50</f>
        <v>276016.2125252</v>
      </c>
      <c r="U61" s="71" t="n">
        <f aca="false">U16+U33+U50</f>
        <v>109362.104330193</v>
      </c>
      <c r="V61" s="71" t="n">
        <f aca="false">V16+V33+V50</f>
        <v>276218.955416072</v>
      </c>
      <c r="W61" s="71" t="n">
        <f aca="false">W16+W33+W50</f>
        <v>244038.396959809</v>
      </c>
      <c r="X61" s="71" t="n">
        <f aca="false">X16+X33+X50</f>
        <v>154344.112085056</v>
      </c>
      <c r="Y61" s="71" t="n">
        <f aca="false">Y16+Y33+Y50</f>
        <v>265459.077839283</v>
      </c>
      <c r="Z61" s="71" t="n">
        <f aca="false">Z16+Z33+Z50</f>
        <v>200111.392248564</v>
      </c>
      <c r="AA61" s="71" t="n">
        <f aca="false">AA16+AA33+AA50</f>
        <v>223982.715287039</v>
      </c>
      <c r="AB61" s="71" t="n">
        <f aca="false">AB16+AB33+AB50</f>
        <v>275914.304708904</v>
      </c>
    </row>
    <row r="62" customFormat="false" ht="15" hidden="false" customHeight="false" outlineLevel="0" collapsed="false">
      <c r="A62" s="29" t="s">
        <v>694</v>
      </c>
      <c r="B62" s="60" t="s">
        <v>692</v>
      </c>
      <c r="C62" s="61" t="n">
        <f aca="false">SUM(E62:P62)</f>
        <v>-1913847.78772355</v>
      </c>
      <c r="D62" s="61" t="n">
        <f aca="false">SUM(Q62:AB62)</f>
        <v>-1853861.91971083</v>
      </c>
      <c r="E62" s="71" t="n">
        <f aca="false">E18+E35+E52</f>
        <v>-139419.993609656</v>
      </c>
      <c r="F62" s="71" t="n">
        <f aca="false">F18+F35+F52</f>
        <v>-166922.506657448</v>
      </c>
      <c r="G62" s="71" t="n">
        <f aca="false">G18+G35+G52</f>
        <v>-150396.288555572</v>
      </c>
      <c r="H62" s="71" t="n">
        <f aca="false">H18+H35+H52</f>
        <v>-144659.537374236</v>
      </c>
      <c r="I62" s="71" t="n">
        <f aca="false">I18+I35+I52</f>
        <v>-149246.226688016</v>
      </c>
      <c r="J62" s="71" t="n">
        <f aca="false">J18+J35+J52</f>
        <v>-144562.329162656</v>
      </c>
      <c r="K62" s="71" t="n">
        <f aca="false">K18+K35+K52</f>
        <v>-276143.985839752</v>
      </c>
      <c r="L62" s="71" t="n">
        <f aca="false">L18+L35+L52</f>
        <v>-138620.728331844</v>
      </c>
      <c r="M62" s="71" t="n">
        <f aca="false">M18+M35+M52</f>
        <v>-149729.60662137</v>
      </c>
      <c r="N62" s="71" t="n">
        <f aca="false">N18+N35+N52</f>
        <v>-164019.968702528</v>
      </c>
      <c r="O62" s="71" t="n">
        <f aca="false">O18+O35+O52</f>
        <v>-144867.800523424</v>
      </c>
      <c r="P62" s="71" t="n">
        <f aca="false">P18+P35+P52</f>
        <v>-145258.815657051</v>
      </c>
      <c r="Q62" s="71" t="n">
        <f aca="false">Q18+Q35+Q52</f>
        <v>-181869.205188313</v>
      </c>
      <c r="R62" s="71" t="n">
        <f aca="false">R18+R35+R52</f>
        <v>-150094.665013391</v>
      </c>
      <c r="S62" s="71" t="n">
        <f aca="false">S18+S35+S52</f>
        <v>-149880.235255986</v>
      </c>
      <c r="T62" s="71" t="n">
        <f aca="false">T18+T35+T52</f>
        <v>-166751.481459587</v>
      </c>
      <c r="U62" s="71" t="n">
        <f aca="false">U18+U35+U52</f>
        <v>-150391.981100739</v>
      </c>
      <c r="V62" s="71" t="n">
        <f aca="false">V18+V35+V52</f>
        <v>-148834.764430536</v>
      </c>
      <c r="W62" s="71" t="n">
        <f aca="false">W18+W35+W52</f>
        <v>-150857.919172535</v>
      </c>
      <c r="X62" s="71" t="n">
        <f aca="false">X18+X35+X52</f>
        <v>-150214.579385828</v>
      </c>
      <c r="Y62" s="71" t="n">
        <f aca="false">Y18+Y35+Y52</f>
        <v>-154437.675603129</v>
      </c>
      <c r="Z62" s="71" t="n">
        <f aca="false">Z18+Z35+Z52</f>
        <v>-150584.438015314</v>
      </c>
      <c r="AA62" s="71" t="n">
        <f aca="false">AA18+AA35+AA52</f>
        <v>-149775.892765949</v>
      </c>
      <c r="AB62" s="71" t="n">
        <f aca="false">AB18+AB35+AB52</f>
        <v>-150169.082319526</v>
      </c>
    </row>
    <row r="63" customFormat="false" ht="15" hidden="false" customHeight="false" outlineLevel="0" collapsed="false">
      <c r="A63" s="68" t="s">
        <v>685</v>
      </c>
      <c r="B63" s="69" t="s">
        <v>692</v>
      </c>
      <c r="C63" s="70" t="n">
        <f aca="false">SUM(E63:P63)</f>
        <v>912882.484438358</v>
      </c>
      <c r="D63" s="70" t="n">
        <f aca="false">SUM(Q63:AB63)</f>
        <v>981860.366101296</v>
      </c>
      <c r="E63" s="70" t="n">
        <f aca="false">E19+E36+E53</f>
        <v>-16379.8082763227</v>
      </c>
      <c r="F63" s="70" t="n">
        <f aca="false">F19+F36+F53</f>
        <v>-19506.4113241146</v>
      </c>
      <c r="G63" s="70" t="n">
        <f aca="false">G19+G36+G53</f>
        <v>123633.584277761</v>
      </c>
      <c r="H63" s="70" t="n">
        <f aca="false">H19+H36+H53</f>
        <v>41466.283925764</v>
      </c>
      <c r="I63" s="70" t="n">
        <f aca="false">I19+I36+I53</f>
        <v>28357.472111984</v>
      </c>
      <c r="J63" s="70" t="n">
        <f aca="false">J19+J36+J53</f>
        <v>160801.639637344</v>
      </c>
      <c r="K63" s="70" t="n">
        <f aca="false">K19+K36+K53</f>
        <v>-51681.117039752</v>
      </c>
      <c r="L63" s="70" t="n">
        <f aca="false">L19+L36+L53</f>
        <v>-14443.629531844</v>
      </c>
      <c r="M63" s="70" t="n">
        <f aca="false">M19+M36+M53</f>
        <v>182927.640717865</v>
      </c>
      <c r="N63" s="70" t="n">
        <f aca="false">N19+N36+N53</f>
        <v>119852.653109769</v>
      </c>
      <c r="O63" s="70" t="n">
        <f aca="false">O19+O36+O53</f>
        <v>159639.297850249</v>
      </c>
      <c r="P63" s="70" t="n">
        <f aca="false">P19+P36+P53</f>
        <v>198214.878979654</v>
      </c>
      <c r="Q63" s="70" t="n">
        <f aca="false">Q19+Q36+Q53</f>
        <v>69149.9343895116</v>
      </c>
      <c r="R63" s="70" t="n">
        <f aca="false">R19+R36+R53</f>
        <v>125176.727468633</v>
      </c>
      <c r="S63" s="70" t="n">
        <f aca="false">S19+S36+S53</f>
        <v>134104.247096173</v>
      </c>
      <c r="T63" s="70" t="n">
        <f aca="false">T19+T36+T53</f>
        <v>109264.731065614</v>
      </c>
      <c r="U63" s="70" t="n">
        <f aca="false">U19+U36+U53</f>
        <v>-41029.8767705465</v>
      </c>
      <c r="V63" s="70" t="n">
        <f aca="false">V19+V36+V53</f>
        <v>127384.190985536</v>
      </c>
      <c r="W63" s="70" t="n">
        <f aca="false">W19+W36+W53</f>
        <v>93180.4777872742</v>
      </c>
      <c r="X63" s="70" t="n">
        <f aca="false">X19+X36+X53</f>
        <v>4129.5326992278</v>
      </c>
      <c r="Y63" s="70" t="n">
        <f aca="false">Y19+Y36+Y53</f>
        <v>111021.402236154</v>
      </c>
      <c r="Z63" s="70" t="n">
        <f aca="false">Z19+Z36+Z53</f>
        <v>49526.9542332505</v>
      </c>
      <c r="AA63" s="70" t="n">
        <f aca="false">AA19+AA36+AA53</f>
        <v>74206.8225210903</v>
      </c>
      <c r="AB63" s="70" t="n">
        <f aca="false">AB19+AB36+AB53</f>
        <v>125745.222389378</v>
      </c>
    </row>
    <row r="64" customFormat="false" ht="15" hidden="false" customHeight="false" outlineLevel="0" collapsed="false">
      <c r="A64" s="29" t="s">
        <v>695</v>
      </c>
      <c r="B64" s="60"/>
      <c r="C64" s="61" t="n">
        <f aca="false">SUM(E64:P64)</f>
        <v>0</v>
      </c>
      <c r="D64" s="61" t="n">
        <f aca="false">SUM(Q64:AB64)</f>
        <v>0</v>
      </c>
      <c r="E64" s="62" t="n">
        <f aca="false">ROUND(E60-PL!E14,0)</f>
        <v>0</v>
      </c>
      <c r="F64" s="62" t="n">
        <f aca="false">ROUND(F60-PL!F14,0)</f>
        <v>0</v>
      </c>
      <c r="G64" s="62" t="n">
        <f aca="false">ROUND(G60-PL!G14,0)</f>
        <v>0</v>
      </c>
      <c r="H64" s="62" t="n">
        <f aca="false">ROUND(H60-PL!H14,0)</f>
        <v>0</v>
      </c>
      <c r="I64" s="62" t="n">
        <f aca="false">ROUND(I60-PL!I14,0)</f>
        <v>0</v>
      </c>
      <c r="J64" s="62" t="n">
        <f aca="false">ROUND(J60-PL!J14,0)</f>
        <v>0</v>
      </c>
      <c r="K64" s="62" t="n">
        <f aca="false">ROUND(K60-PL!K14,0)</f>
        <v>0</v>
      </c>
      <c r="L64" s="62" t="n">
        <f aca="false">ROUND(L60-PL!L14,0)</f>
        <v>0</v>
      </c>
      <c r="M64" s="62" t="n">
        <f aca="false">ROUND(M60-PL!M14,0)</f>
        <v>0</v>
      </c>
      <c r="N64" s="62" t="n">
        <f aca="false">ROUND(N60-PL!N14,0)</f>
        <v>0</v>
      </c>
      <c r="O64" s="62" t="n">
        <f aca="false">ROUND(O60-PL!O14,0)</f>
        <v>0</v>
      </c>
      <c r="P64" s="62" t="n">
        <f aca="false">ROUND(P60-PL!P14,0)</f>
        <v>0</v>
      </c>
      <c r="Q64" s="62" t="n">
        <f aca="false">ROUND(Q60-PL!Q14,0)</f>
        <v>0</v>
      </c>
      <c r="R64" s="62" t="n">
        <f aca="false">ROUND(R60-PL!R14,0)</f>
        <v>0</v>
      </c>
      <c r="S64" s="62" t="n">
        <f aca="false">ROUND(S60-PL!S14,0)</f>
        <v>0</v>
      </c>
      <c r="T64" s="62" t="n">
        <f aca="false">ROUND(T60-PL!T14,0)</f>
        <v>0</v>
      </c>
      <c r="U64" s="62" t="n">
        <f aca="false">ROUND(U60-PL!U14,0)</f>
        <v>0</v>
      </c>
      <c r="V64" s="62" t="n">
        <f aca="false">ROUND(V60-PL!V14,0)</f>
        <v>0</v>
      </c>
      <c r="W64" s="62" t="n">
        <f aca="false">ROUND(W60-PL!W14,0)</f>
        <v>0</v>
      </c>
      <c r="X64" s="62" t="n">
        <f aca="false">ROUND(X60-PL!X14,0)</f>
        <v>0</v>
      </c>
      <c r="Y64" s="62" t="n">
        <f aca="false">ROUND(Y60-PL!Y14,0)</f>
        <v>0</v>
      </c>
      <c r="Z64" s="62" t="n">
        <f aca="false">ROUND(Z60-PL!Z14,0)</f>
        <v>0</v>
      </c>
      <c r="AA64" s="62" t="n">
        <f aca="false">ROUND(AA60-PL!AA14,0)</f>
        <v>0</v>
      </c>
      <c r="AB64" s="62" t="n">
        <f aca="false">ROUND(AB60-PL!AB14,0)</f>
        <v>0</v>
      </c>
    </row>
    <row r="65" customFormat="false" ht="15" hidden="false" customHeight="false" outlineLevel="0" collapsed="false">
      <c r="A65" s="29" t="s">
        <v>696</v>
      </c>
      <c r="B65" s="60"/>
      <c r="C65" s="61" t="n">
        <f aca="false">SUM(E65:P65)</f>
        <v>0</v>
      </c>
      <c r="D65" s="61" t="n">
        <f aca="false">SUM(Q65:AB65)</f>
        <v>0</v>
      </c>
      <c r="E65" s="62" t="n">
        <f aca="false">ROUND(E61-PL!E23,0)</f>
        <v>0</v>
      </c>
      <c r="F65" s="62" t="n">
        <f aca="false">ROUND(F61-PL!F23,0)</f>
        <v>0</v>
      </c>
      <c r="G65" s="62" t="n">
        <f aca="false">ROUND(G61-PL!G23,0)</f>
        <v>0</v>
      </c>
      <c r="H65" s="62" t="n">
        <f aca="false">ROUND(H61-PL!H23,0)</f>
        <v>0</v>
      </c>
      <c r="I65" s="62" t="n">
        <f aca="false">ROUND(I61-PL!I23,0)</f>
        <v>0</v>
      </c>
      <c r="J65" s="62" t="n">
        <f aca="false">ROUND(J61-PL!J23,0)</f>
        <v>0</v>
      </c>
      <c r="K65" s="62" t="n">
        <f aca="false">ROUND(K61-PL!K23,0)</f>
        <v>0</v>
      </c>
      <c r="L65" s="62" t="n">
        <f aca="false">ROUND(L61-PL!L23,0)</f>
        <v>0</v>
      </c>
      <c r="M65" s="62" t="n">
        <f aca="false">ROUND(M61-PL!M23,0)</f>
        <v>0</v>
      </c>
      <c r="N65" s="62" t="n">
        <f aca="false">ROUND(N61-PL!N23,0)</f>
        <v>0</v>
      </c>
      <c r="O65" s="62" t="n">
        <f aca="false">ROUND(O61-PL!O23,0)</f>
        <v>0</v>
      </c>
      <c r="P65" s="62" t="n">
        <f aca="false">ROUND(P61-PL!P23,0)</f>
        <v>0</v>
      </c>
      <c r="Q65" s="62" t="n">
        <f aca="false">ROUND(Q61-PL!Q23,0)</f>
        <v>0</v>
      </c>
      <c r="R65" s="62" t="n">
        <f aca="false">ROUND(R61-PL!R23,0)</f>
        <v>0</v>
      </c>
      <c r="S65" s="62" t="n">
        <f aca="false">ROUND(S61-PL!S23,0)</f>
        <v>0</v>
      </c>
      <c r="T65" s="62" t="n">
        <f aca="false">ROUND(T61-PL!T23,0)</f>
        <v>0</v>
      </c>
      <c r="U65" s="62" t="n">
        <f aca="false">ROUND(U61-PL!U23,0)</f>
        <v>0</v>
      </c>
      <c r="V65" s="62" t="n">
        <f aca="false">ROUND(V61-PL!V23,0)</f>
        <v>0</v>
      </c>
      <c r="W65" s="62" t="n">
        <f aca="false">ROUND(W61-PL!W23,0)</f>
        <v>0</v>
      </c>
      <c r="X65" s="62" t="n">
        <f aca="false">ROUND(X61-PL!X23,0)</f>
        <v>0</v>
      </c>
      <c r="Y65" s="62" t="n">
        <f aca="false">ROUND(Y61-PL!Y23,0)</f>
        <v>0</v>
      </c>
      <c r="Z65" s="62" t="n">
        <f aca="false">ROUND(Z61-PL!Z23,0)</f>
        <v>0</v>
      </c>
      <c r="AA65" s="62" t="n">
        <f aca="false">ROUND(AA61-PL!AA23,0)</f>
        <v>0</v>
      </c>
      <c r="AB65" s="62" t="n">
        <f aca="false">ROUND(AB61-PL!AB23,0)</f>
        <v>0</v>
      </c>
    </row>
    <row r="66" customFormat="false" ht="15" hidden="false" customHeight="false" outlineLevel="0" collapsed="false">
      <c r="A66" s="29" t="s">
        <v>697</v>
      </c>
      <c r="B66" s="60"/>
      <c r="C66" s="61" t="n">
        <f aca="false">SUM(E66:P66)</f>
        <v>0</v>
      </c>
      <c r="D66" s="61" t="n">
        <f aca="false">SUM(Q66:AB66)</f>
        <v>0</v>
      </c>
      <c r="E66" s="62" t="n">
        <f aca="false">ROUND(E63-PL!E42,0)</f>
        <v>0</v>
      </c>
      <c r="F66" s="62" t="n">
        <f aca="false">ROUND(F63-PL!F42,0)</f>
        <v>0</v>
      </c>
      <c r="G66" s="62" t="n">
        <f aca="false">ROUND(G63-PL!G42,0)</f>
        <v>0</v>
      </c>
      <c r="H66" s="62" t="n">
        <f aca="false">ROUND(H63-PL!H42,0)</f>
        <v>0</v>
      </c>
      <c r="I66" s="62" t="n">
        <f aca="false">ROUND(I63-PL!I42,0)</f>
        <v>0</v>
      </c>
      <c r="J66" s="62" t="n">
        <f aca="false">ROUND(J63-PL!J42,0)</f>
        <v>0</v>
      </c>
      <c r="K66" s="62" t="n">
        <f aca="false">ROUND(K63-PL!K42,0)</f>
        <v>0</v>
      </c>
      <c r="L66" s="62" t="n">
        <f aca="false">ROUND(L63-PL!L42,0)</f>
        <v>-0</v>
      </c>
      <c r="M66" s="62" t="n">
        <f aca="false">ROUND(M63-PL!M42,0)</f>
        <v>0</v>
      </c>
      <c r="N66" s="62" t="n">
        <f aca="false">ROUND(N63-PL!N42,0)</f>
        <v>0</v>
      </c>
      <c r="O66" s="62" t="n">
        <f aca="false">ROUND(O63-PL!O42,0)</f>
        <v>0</v>
      </c>
      <c r="P66" s="62" t="n">
        <f aca="false">ROUND(P63-PL!P42,0)</f>
        <v>0</v>
      </c>
      <c r="Q66" s="62" t="n">
        <f aca="false">ROUND(Q63-PL!Q42,0)</f>
        <v>0</v>
      </c>
      <c r="R66" s="62" t="n">
        <f aca="false">ROUND(R63-PL!R42,0)</f>
        <v>0</v>
      </c>
      <c r="S66" s="62" t="n">
        <f aca="false">ROUND(S63-PL!S42,0)</f>
        <v>0</v>
      </c>
      <c r="T66" s="62" t="n">
        <f aca="false">ROUND(T63-PL!T42,0)</f>
        <v>0</v>
      </c>
      <c r="U66" s="62" t="n">
        <f aca="false">ROUND(U63-PL!U42,0)</f>
        <v>0</v>
      </c>
      <c r="V66" s="62" t="n">
        <f aca="false">ROUND(V63-PL!V42,0)</f>
        <v>0</v>
      </c>
      <c r="W66" s="62" t="n">
        <f aca="false">ROUND(W63-PL!W42,0)</f>
        <v>0</v>
      </c>
      <c r="X66" s="62" t="n">
        <f aca="false">ROUND(X63-PL!X42,0)</f>
        <v>-0</v>
      </c>
      <c r="Y66" s="62" t="n">
        <f aca="false">ROUND(Y63-PL!Y42,0)</f>
        <v>0</v>
      </c>
      <c r="Z66" s="62" t="n">
        <f aca="false">ROUND(Z63-PL!Z42,0)</f>
        <v>0</v>
      </c>
      <c r="AA66" s="62" t="n">
        <f aca="false">ROUND(AA63-PL!AA42,0)</f>
        <v>0</v>
      </c>
      <c r="AB66" s="62" t="n">
        <f aca="false">ROUND(AB63-PL!AB42,0)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698</v>
      </c>
    </row>
    <row r="3" customFormat="false" ht="15" hidden="false" customHeight="false" outlineLevel="0" collapsed="false">
      <c r="A3" s="51" t="s">
        <v>699</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700</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701</v>
      </c>
      <c r="B9" s="60" t="s">
        <v>51</v>
      </c>
      <c r="C9" s="66" t="n">
        <f aca="false">SUM(E9:P9)</f>
        <v>40640.9367773469</v>
      </c>
      <c r="D9" s="66" t="n">
        <f aca="false">SUM(Q9:AB9)</f>
        <v>41687.1974458871</v>
      </c>
      <c r="E9" s="67" t="n">
        <f aca="false">Engagements!E596</f>
        <v>2518.7</v>
      </c>
      <c r="F9" s="67" t="n">
        <f aca="false">Engagements!F596</f>
        <v>2774.8</v>
      </c>
      <c r="G9" s="67" t="n">
        <f aca="false">Engagements!G596</f>
        <v>3591.3</v>
      </c>
      <c r="H9" s="67" t="n">
        <f aca="false">Engagements!H596</f>
        <v>3102.8</v>
      </c>
      <c r="I9" s="67" t="n">
        <f aca="false">Engagements!I596</f>
        <v>3143.9</v>
      </c>
      <c r="J9" s="67" t="n">
        <f aca="false">Engagements!J596</f>
        <v>3918.4</v>
      </c>
      <c r="K9" s="67" t="n">
        <f aca="false">Engagements!K596</f>
        <v>3342.7</v>
      </c>
      <c r="L9" s="67" t="n">
        <f aca="false">Engagements!L596</f>
        <v>2659.5</v>
      </c>
      <c r="M9" s="67" t="n">
        <f aca="false">Engagements!M596</f>
        <v>4170.75702260542</v>
      </c>
      <c r="N9" s="67" t="n">
        <f aca="false">Engagements!N596</f>
        <v>3685.49665707846</v>
      </c>
      <c r="O9" s="67" t="n">
        <f aca="false">Engagements!O596</f>
        <v>3720.41305085979</v>
      </c>
      <c r="P9" s="67" t="n">
        <f aca="false">Engagements!P596</f>
        <v>4012.17004680323</v>
      </c>
      <c r="Q9" s="67" t="n">
        <f aca="false">Engagements!Q596</f>
        <v>3567.13238812627</v>
      </c>
      <c r="R9" s="67" t="n">
        <f aca="false">Engagements!R596</f>
        <v>3704.08566249423</v>
      </c>
      <c r="S9" s="67" t="n">
        <f aca="false">Engagements!S596</f>
        <v>3649.5998366153</v>
      </c>
      <c r="T9" s="67" t="n">
        <f aca="false">Engagements!T596</f>
        <v>3639.7054970548</v>
      </c>
      <c r="U9" s="67" t="n">
        <f aca="false">Engagements!U596</f>
        <v>2738.252716867</v>
      </c>
      <c r="V9" s="67" t="n">
        <f aca="false">Engagements!V596</f>
        <v>3650.38823416477</v>
      </c>
      <c r="W9" s="67" t="n">
        <f aca="false">Engagements!W596</f>
        <v>3469.49348274584</v>
      </c>
      <c r="X9" s="67" t="n">
        <f aca="false">Engagements!X596</f>
        <v>2982.84274272726</v>
      </c>
      <c r="Y9" s="67" t="n">
        <f aca="false">Engagements!Y596</f>
        <v>3717.2894760404</v>
      </c>
      <c r="Z9" s="67" t="n">
        <f aca="false">Engagements!Z596</f>
        <v>3341.90898211722</v>
      </c>
      <c r="AA9" s="67" t="n">
        <f aca="false">Engagements!AA596</f>
        <v>3471.4550085584</v>
      </c>
      <c r="AB9" s="67" t="n">
        <f aca="false">Engagements!AB596</f>
        <v>3755.04341837559</v>
      </c>
    </row>
    <row r="10" customFormat="false" ht="15" hidden="false" customHeight="false" outlineLevel="0" collapsed="false">
      <c r="A10" s="68" t="s">
        <v>702</v>
      </c>
      <c r="B10" s="69" t="s">
        <v>51</v>
      </c>
      <c r="C10" s="70" t="n">
        <f aca="false">SUM(E10:P10)</f>
        <v>8148728.46875185</v>
      </c>
      <c r="D10" s="70" t="n">
        <f aca="false">SUM(Q10:AB10)</f>
        <v>8658717.96230795</v>
      </c>
      <c r="E10" s="74" t="n">
        <f aca="false">Engagements!E597</f>
        <v>507895.91</v>
      </c>
      <c r="F10" s="74" t="n">
        <f aca="false">Engagements!F597</f>
        <v>557678.1</v>
      </c>
      <c r="G10" s="74" t="n">
        <f aca="false">Engagements!G597</f>
        <v>722535.15</v>
      </c>
      <c r="H10" s="74" t="n">
        <f aca="false">Engagements!H597</f>
        <v>623634.83</v>
      </c>
      <c r="I10" s="74" t="n">
        <f aca="false">Engagements!I597</f>
        <v>630608.86</v>
      </c>
      <c r="J10" s="74" t="n">
        <f aca="false">Engagements!J597</f>
        <v>784798.48</v>
      </c>
      <c r="K10" s="74" t="n">
        <f aca="false">Engagements!K597</f>
        <v>670714.48</v>
      </c>
      <c r="L10" s="74" t="n">
        <f aca="false">Engagements!L597</f>
        <v>534225.73</v>
      </c>
      <c r="M10" s="74" t="n">
        <f aca="false">Engagements!M597</f>
        <v>833480.32626765</v>
      </c>
      <c r="N10" s="74" t="n">
        <f aca="false">Engagements!N597</f>
        <v>737954.149630505</v>
      </c>
      <c r="O10" s="74" t="n">
        <f aca="false">Engagements!O597</f>
        <v>745996.449740146</v>
      </c>
      <c r="P10" s="74" t="n">
        <f aca="false">Engagements!P597</f>
        <v>799206.003113547</v>
      </c>
      <c r="Q10" s="74" t="n">
        <f aca="false">Engagements!Q597</f>
        <v>739514.117528519</v>
      </c>
      <c r="R10" s="74" t="n">
        <f aca="false">Engagements!R597</f>
        <v>767306.489730786</v>
      </c>
      <c r="S10" s="74" t="n">
        <f aca="false">Engagements!S597</f>
        <v>761107.424672483</v>
      </c>
      <c r="T10" s="74" t="n">
        <f aca="false">Engagements!T597</f>
        <v>760655.070451722</v>
      </c>
      <c r="U10" s="74" t="n">
        <f aca="false">Engagements!U597</f>
        <v>572404.06579292</v>
      </c>
      <c r="V10" s="74" t="n">
        <f aca="false">Engagements!V597</f>
        <v>763134.975584563</v>
      </c>
      <c r="W10" s="74" t="n">
        <f aca="false">Engagements!W597</f>
        <v>725593.796723551</v>
      </c>
      <c r="X10" s="74" t="n">
        <f aca="false">Engagements!X597</f>
        <v>624070.997856584</v>
      </c>
      <c r="Y10" s="74" t="n">
        <f aca="false">Engagements!Y597</f>
        <v>766020.719254727</v>
      </c>
      <c r="Z10" s="74" t="n">
        <f aca="false">Engagements!Z597</f>
        <v>688855.939302752</v>
      </c>
      <c r="AA10" s="74" t="n">
        <f aca="false">Engagements!AA597</f>
        <v>715723.148821763</v>
      </c>
      <c r="AB10" s="74" t="n">
        <f aca="false">Engagements!AB597</f>
        <v>774331.216587582</v>
      </c>
    </row>
    <row r="11" customFormat="false" ht="15" hidden="false" customHeight="false" outlineLevel="0" collapsed="false">
      <c r="A11" s="29" t="s">
        <v>703</v>
      </c>
      <c r="B11" s="60" t="s">
        <v>704</v>
      </c>
      <c r="C11" s="61" t="n">
        <f aca="false">SUM(E11:P11)</f>
        <v>-530127.699136088</v>
      </c>
      <c r="D11" s="61" t="n">
        <f aca="false">SUM(Q11:AB11)</f>
        <v>-656821.222976823</v>
      </c>
      <c r="E11" s="62" t="n">
        <f aca="false">-(Engagements!E597-Engagements!E598)</f>
        <v>-36664.0619359667</v>
      </c>
      <c r="F11" s="62" t="n">
        <f aca="false">-(Engagements!F597-Engagements!F598)</f>
        <v>-38914.3021434512</v>
      </c>
      <c r="G11" s="62" t="n">
        <f aca="false">-(Engagements!G597-Engagements!G598)</f>
        <v>-48876.6048958323</v>
      </c>
      <c r="H11" s="62" t="n">
        <f aca="false">-(Engagements!H597-Engagements!H598)</f>
        <v>-42824.35180832</v>
      </c>
      <c r="I11" s="62" t="n">
        <f aca="false">-(Engagements!I597-Engagements!I598)</f>
        <v>-42279.7169835137</v>
      </c>
      <c r="J11" s="62" t="n">
        <f aca="false">-(Engagements!J597-Engagements!J598)</f>
        <v>-52285.7122871418</v>
      </c>
      <c r="K11" s="62" t="n">
        <f aca="false">-(Engagements!K597-Engagements!K598)</f>
        <v>-41497.309546544</v>
      </c>
      <c r="L11" s="62" t="n">
        <f aca="false">-(Engagements!L597-Engagements!L598)</f>
        <v>-31799.7585079435</v>
      </c>
      <c r="M11" s="62" t="n">
        <f aca="false">-(Engagements!M597-Engagements!M598)</f>
        <v>-50708.46055677</v>
      </c>
      <c r="N11" s="62" t="n">
        <f aca="false">-(Engagements!N597-Engagements!N598)</f>
        <v>-44312.816194869</v>
      </c>
      <c r="O11" s="62" t="n">
        <f aca="false">-(Engagements!O597-Engagements!O598)</f>
        <v>-48775.2932225146</v>
      </c>
      <c r="P11" s="62" t="n">
        <f aca="false">-(Engagements!P597-Engagements!P598)</f>
        <v>-51189.311053221</v>
      </c>
      <c r="Q11" s="62" t="n">
        <f aca="false">-(Engagements!Q597-Engagements!Q598)</f>
        <v>-51843.1740498157</v>
      </c>
      <c r="R11" s="62" t="n">
        <f aca="false">-(Engagements!R597-Engagements!R598)</f>
        <v>-53885.1269644848</v>
      </c>
      <c r="S11" s="62" t="n">
        <f aca="false">-(Engagements!S597-Engagements!S598)</f>
        <v>-54436.5298068612</v>
      </c>
      <c r="T11" s="62" t="n">
        <f aca="false">-(Engagements!T597-Engagements!T598)</f>
        <v>-55959.5240564634</v>
      </c>
      <c r="U11" s="62" t="n">
        <f aca="false">-(Engagements!U597-Engagements!U598)</f>
        <v>-42425.8923176472</v>
      </c>
      <c r="V11" s="62" t="n">
        <f aca="false">-(Engagements!V597-Engagements!V598)</f>
        <v>-58184.6394044849</v>
      </c>
      <c r="W11" s="62" t="n">
        <f aca="false">-(Engagements!W597-Engagements!W598)</f>
        <v>-55854.3419461292</v>
      </c>
      <c r="X11" s="62" t="n">
        <f aca="false">-(Engagements!X597-Engagements!X598)</f>
        <v>-49529.6967070474</v>
      </c>
      <c r="Y11" s="62" t="n">
        <f aca="false">-(Engagements!Y597-Engagements!Y598)</f>
        <v>-60814.7885514734</v>
      </c>
      <c r="Z11" s="62" t="n">
        <f aca="false">-(Engagements!Z597-Engagements!Z598)</f>
        <v>-54683.1599396681</v>
      </c>
      <c r="AA11" s="62" t="n">
        <f aca="false">-(Engagements!AA597-Engagements!AA598)</f>
        <v>-57257.851905741</v>
      </c>
      <c r="AB11" s="62" t="n">
        <f aca="false">-(Engagements!AB597-Engagements!AB598)</f>
        <v>-61946.4973270067</v>
      </c>
    </row>
    <row r="12" customFormat="false" ht="15" hidden="false" customHeight="false" outlineLevel="0" collapsed="false">
      <c r="A12" s="68" t="s">
        <v>705</v>
      </c>
      <c r="B12" s="69" t="s">
        <v>51</v>
      </c>
      <c r="C12" s="70" t="n">
        <f aca="false">SUM(E12:P12)</f>
        <v>7618600.76961576</v>
      </c>
      <c r="D12" s="70" t="n">
        <f aca="false">SUM(Q12:AB12)</f>
        <v>8001896.73933113</v>
      </c>
      <c r="E12" s="74" t="n">
        <f aca="false">Engagements!E598</f>
        <v>471231.848064033</v>
      </c>
      <c r="F12" s="74" t="n">
        <f aca="false">Engagements!F598</f>
        <v>518763.797856549</v>
      </c>
      <c r="G12" s="74" t="n">
        <f aca="false">Engagements!G598</f>
        <v>673658.545104168</v>
      </c>
      <c r="H12" s="74" t="n">
        <f aca="false">Engagements!H598</f>
        <v>580810.47819168</v>
      </c>
      <c r="I12" s="74" t="n">
        <f aca="false">Engagements!I598</f>
        <v>588329.143016486</v>
      </c>
      <c r="J12" s="74" t="n">
        <f aca="false">Engagements!J598</f>
        <v>732512.767712858</v>
      </c>
      <c r="K12" s="74" t="n">
        <f aca="false">Engagements!K598</f>
        <v>629217.170453456</v>
      </c>
      <c r="L12" s="74" t="n">
        <f aca="false">Engagements!L598</f>
        <v>502425.971492057</v>
      </c>
      <c r="M12" s="74" t="n">
        <f aca="false">Engagements!M598</f>
        <v>782771.86571088</v>
      </c>
      <c r="N12" s="74" t="n">
        <f aca="false">Engagements!N598</f>
        <v>693641.333435636</v>
      </c>
      <c r="O12" s="74" t="n">
        <f aca="false">Engagements!O598</f>
        <v>697221.156517631</v>
      </c>
      <c r="P12" s="74" t="n">
        <f aca="false">Engagements!P598</f>
        <v>748016.692060326</v>
      </c>
      <c r="Q12" s="74" t="n">
        <f aca="false">Engagements!Q598</f>
        <v>687670.943478703</v>
      </c>
      <c r="R12" s="74" t="n">
        <f aca="false">Engagements!R598</f>
        <v>713421.362766301</v>
      </c>
      <c r="S12" s="74" t="n">
        <f aca="false">Engagements!S598</f>
        <v>706670.894865622</v>
      </c>
      <c r="T12" s="74" t="n">
        <f aca="false">Engagements!T598</f>
        <v>704695.546395258</v>
      </c>
      <c r="U12" s="74" t="n">
        <f aca="false">Engagements!U598</f>
        <v>529978.173475272</v>
      </c>
      <c r="V12" s="74" t="n">
        <f aca="false">Engagements!V598</f>
        <v>704950.336180078</v>
      </c>
      <c r="W12" s="74" t="n">
        <f aca="false">Engagements!W598</f>
        <v>669739.454777422</v>
      </c>
      <c r="X12" s="74" t="n">
        <f aca="false">Engagements!X598</f>
        <v>574541.301149537</v>
      </c>
      <c r="Y12" s="74" t="n">
        <f aca="false">Engagements!Y598</f>
        <v>705205.930703254</v>
      </c>
      <c r="Z12" s="74" t="n">
        <f aca="false">Engagements!Z598</f>
        <v>634172.779363084</v>
      </c>
      <c r="AA12" s="74" t="n">
        <f aca="false">Engagements!AA598</f>
        <v>658465.296916022</v>
      </c>
      <c r="AB12" s="74" t="n">
        <f aca="false">Engagements!AB598</f>
        <v>712384.719260575</v>
      </c>
    </row>
    <row r="13" customFormat="false" ht="15" hidden="false" customHeight="false" outlineLevel="0" collapsed="false">
      <c r="A13" s="29" t="s">
        <v>706</v>
      </c>
      <c r="B13" s="60" t="s">
        <v>707</v>
      </c>
      <c r="C13" s="61" t="n">
        <f aca="false">SUM(E13:P13)</f>
        <v>-156650.555651264</v>
      </c>
      <c r="D13" s="61" t="n">
        <f aca="false">SUM(Q13:AB13)</f>
        <v>-267561.142605468</v>
      </c>
      <c r="E13" s="62" t="n">
        <f aca="false">-(Engagements!E575-Engagements!E576)</f>
        <v>-8979.73400000006</v>
      </c>
      <c r="F13" s="62" t="n">
        <f aca="false">-(Engagements!F575-Engagements!F576)</f>
        <v>-12426.9034</v>
      </c>
      <c r="G13" s="62" t="n">
        <f aca="false">-(Engagements!G575-Engagements!G576)</f>
        <v>-8049.9776000001</v>
      </c>
      <c r="H13" s="62" t="n">
        <f aca="false">-(Engagements!H575-Engagements!H576)</f>
        <v>-10021.8374</v>
      </c>
      <c r="I13" s="62" t="n">
        <f aca="false">-(Engagements!I575-Engagements!I576)</f>
        <v>-9087.75150000007</v>
      </c>
      <c r="J13" s="62" t="n">
        <f aca="false">-(Engagements!J575-Engagements!J576)</f>
        <v>-13302.0041000001</v>
      </c>
      <c r="K13" s="62" t="n">
        <f aca="false">-(Engagements!K575-Engagements!K576)</f>
        <v>-23979.1658000001</v>
      </c>
      <c r="L13" s="62" t="n">
        <f aca="false">-(Engagements!L575-Engagements!L576)</f>
        <v>-5664.96270000003</v>
      </c>
      <c r="M13" s="62" t="n">
        <f aca="false">-(Engagements!M575-Engagements!M576)</f>
        <v>-14609.3979232489</v>
      </c>
      <c r="N13" s="62" t="n">
        <f aca="false">-(Engagements!N575-Engagements!N576)</f>
        <v>-14073.9749627109</v>
      </c>
      <c r="O13" s="62" t="n">
        <f aca="false">-(Engagements!O575-Engagements!O576)</f>
        <v>-17484.3271566083</v>
      </c>
      <c r="P13" s="62" t="n">
        <f aca="false">-(Engagements!P575-Engagements!P576)</f>
        <v>-18970.5191086957</v>
      </c>
      <c r="Q13" s="62" t="n">
        <f aca="false">-(Engagements!Q575-Engagements!Q576)</f>
        <v>-17636.1772176494</v>
      </c>
      <c r="R13" s="62" t="n">
        <f aca="false">-(Engagements!R575-Engagements!R576)</f>
        <v>-18319.3721397645</v>
      </c>
      <c r="S13" s="62" t="n">
        <f aca="false">-(Engagements!S575-Engagements!S576)</f>
        <v>-18793.2151865553</v>
      </c>
      <c r="T13" s="62" t="n">
        <f aca="false">-(Engagements!T575-Engagements!T576)</f>
        <v>-22532.6991068822</v>
      </c>
      <c r="U13" s="62" t="n">
        <f aca="false">-(Engagements!U575-Engagements!U576)</f>
        <v>-17226.3510775046</v>
      </c>
      <c r="V13" s="62" t="n">
        <f aca="false">-(Engagements!V575-Engagements!V576)</f>
        <v>-23931.9500781884</v>
      </c>
      <c r="W13" s="62" t="n">
        <f aca="false">-(Engagements!W575-Engagements!W576)</f>
        <v>-23378.1013761834</v>
      </c>
      <c r="X13" s="62" t="n">
        <f aca="false">-(Engagements!X575-Engagements!X576)</f>
        <v>-20756.8220224096</v>
      </c>
      <c r="Y13" s="62" t="n">
        <f aca="false">-(Engagements!Y575-Engagements!Y576)</f>
        <v>-25585.1351633015</v>
      </c>
      <c r="Z13" s="62" t="n">
        <f aca="false">-(Engagements!Z575-Engagements!Z576)</f>
        <v>-24567.3185899657</v>
      </c>
      <c r="AA13" s="62" t="n">
        <f aca="false">-(Engagements!AA575-Engagements!AA576)</f>
        <v>-26338.6118766409</v>
      </c>
      <c r="AB13" s="62" t="n">
        <f aca="false">-(Engagements!AB575-Engagements!AB576)</f>
        <v>-28495.3887704229</v>
      </c>
    </row>
    <row r="14" customFormat="false" ht="15" hidden="false" customHeight="false" outlineLevel="0" collapsed="false">
      <c r="A14" s="29" t="s">
        <v>708</v>
      </c>
      <c r="B14" s="60" t="s">
        <v>707</v>
      </c>
      <c r="C14" s="61" t="n">
        <f aca="false">SUM(E14:P14)</f>
        <v>-83946.9764529404</v>
      </c>
      <c r="D14" s="61" t="n">
        <f aca="false">SUM(Q14:AB14)</f>
        <v>-18970.9363428918</v>
      </c>
      <c r="E14" s="62" t="n">
        <f aca="false">-(Engagements!E571-Engagements!E572)</f>
        <v>-4751.25326403327</v>
      </c>
      <c r="F14" s="62" t="n">
        <f aca="false">-(Engagements!F571-Engagements!F572)</f>
        <v>-1558.74885654883</v>
      </c>
      <c r="G14" s="62" t="n">
        <f aca="false">-(Engagements!G571-Engagements!G572)</f>
        <v>-20774.0565041677</v>
      </c>
      <c r="H14" s="62" t="n">
        <f aca="false">-(Engagements!H571-Engagements!H572)</f>
        <v>-12724.2745916801</v>
      </c>
      <c r="I14" s="62" t="n">
        <f aca="false">-(Engagements!I571-Engagements!I572)</f>
        <v>-2892.81451648628</v>
      </c>
      <c r="J14" s="62" t="n">
        <f aca="false">-(Engagements!J571-Engagements!J572)</f>
        <v>-4788.78041285818</v>
      </c>
      <c r="K14" s="62" t="n">
        <f aca="false">-(Engagements!K571-Engagements!K572)</f>
        <v>-3996.14355345588</v>
      </c>
      <c r="L14" s="62" t="n">
        <f aca="false">-(Engagements!L571-Engagements!L572)</f>
        <v>-4028.37939205652</v>
      </c>
      <c r="M14" s="62" t="n">
        <f aca="false">-(Engagements!M571-Engagements!M572)</f>
        <v>-12770.9527014045</v>
      </c>
      <c r="N14" s="62" t="n">
        <f aca="false">-(Engagements!N571-Engagements!N572)</f>
        <v>-5809.75486904749</v>
      </c>
      <c r="O14" s="62" t="n">
        <f aca="false">-(Engagements!O571-Engagements!O572)</f>
        <v>-4562.08892405716</v>
      </c>
      <c r="P14" s="62" t="n">
        <f aca="false">-(Engagements!P571-Engagements!P572)</f>
        <v>-5289.7288671445</v>
      </c>
      <c r="Q14" s="62" t="n">
        <f aca="false">-(Engagements!Q571-Engagements!Q572)</f>
        <v>-3531.88951705299</v>
      </c>
      <c r="R14" s="62" t="n">
        <f aca="false">-(Engagements!R571-Engagements!R572)</f>
        <v>-3687.93214552265</v>
      </c>
      <c r="S14" s="62" t="n">
        <f aca="false">-(Engagements!S571-Engagements!S572)</f>
        <v>-3956.14539246974</v>
      </c>
      <c r="T14" s="62" t="n">
        <f aca="false">-(Engagements!T571-Engagements!T572)</f>
        <v>-2725.30255468221</v>
      </c>
      <c r="U14" s="62" t="n">
        <f aca="false">-(Engagements!U571-Engagements!U572)</f>
        <v>-2077.12248762263</v>
      </c>
      <c r="V14" s="62" t="n">
        <f aca="false">-(Engagements!V571-Engagements!V572)</f>
        <v>-1955.90631450713</v>
      </c>
      <c r="W14" s="62" t="n">
        <f aca="false">-(Engagements!W571-Engagements!W572)</f>
        <v>-1036.63793103447</v>
      </c>
      <c r="X14" s="62" t="n">
        <f aca="false">-(Engagements!X571-Engagements!X572)</f>
        <v>-0</v>
      </c>
      <c r="Y14" s="62" t="n">
        <f aca="false">-(Engagements!Y571-Engagements!Y572)</f>
        <v>-0</v>
      </c>
      <c r="Z14" s="62" t="n">
        <f aca="false">-(Engagements!Z571-Engagements!Z572)</f>
        <v>-0</v>
      </c>
      <c r="AA14" s="62" t="n">
        <f aca="false">-(Engagements!AA571-Engagements!AA572)</f>
        <v>-0</v>
      </c>
      <c r="AB14" s="62" t="n">
        <f aca="false">-(Engagements!AB571-Engagements!AB572)</f>
        <v>-0</v>
      </c>
    </row>
    <row r="15" customFormat="false" ht="15" hidden="false" customHeight="false" outlineLevel="0" collapsed="false">
      <c r="A15" s="29" t="s">
        <v>709</v>
      </c>
      <c r="B15" s="60" t="s">
        <v>707</v>
      </c>
      <c r="C15" s="61" t="n">
        <f aca="false">SUM(E15:P15)</f>
        <v>-123441.454426097</v>
      </c>
      <c r="D15" s="61" t="n">
        <f aca="false">SUM(Q15:AB15)</f>
        <v>-60508.6750309823</v>
      </c>
      <c r="E15" s="62" t="n">
        <f aca="false">-(Engagements!E579-Engagements!E580)</f>
        <v>-0.000800000008894131</v>
      </c>
      <c r="F15" s="62" t="n">
        <f aca="false">-(Engagements!F579-Engagements!F580)</f>
        <v>-8594.12559999999</v>
      </c>
      <c r="G15" s="62" t="n">
        <f aca="false">-(Engagements!G579-Engagements!G580)</f>
        <v>-17858.611</v>
      </c>
      <c r="H15" s="62" t="n">
        <f aca="false">-(Engagements!H579-Engagements!H580)</f>
        <v>-17759.3562</v>
      </c>
      <c r="I15" s="62" t="n">
        <f aca="false">-(Engagements!I579-Engagements!I580)</f>
        <v>-17470.167</v>
      </c>
      <c r="J15" s="62" t="n">
        <f aca="false">-(Engagements!J579-Engagements!J580)</f>
        <v>-12873.3132</v>
      </c>
      <c r="K15" s="62" t="n">
        <f aca="false">-(Engagements!K579-Engagements!K580)</f>
        <v>-11030.1311</v>
      </c>
      <c r="L15" s="62" t="n">
        <f aca="false">-(Engagements!L579-Engagements!L580)</f>
        <v>-9046.38940000002</v>
      </c>
      <c r="M15" s="62" t="n">
        <f aca="false">-(Engagements!M579-Engagements!M580)</f>
        <v>-21168.5518345993</v>
      </c>
      <c r="N15" s="62" t="n">
        <f aca="false">-(Engagements!N579-Engagements!N580)</f>
        <v>-3606.24816146246</v>
      </c>
      <c r="O15" s="62" t="n">
        <f aca="false">-(Engagements!O579-Engagements!O580)</f>
        <v>-1989.94564679245</v>
      </c>
      <c r="P15" s="62" t="n">
        <f aca="false">-(Engagements!P579-Engagements!P580)</f>
        <v>-2044.61448324285</v>
      </c>
      <c r="Q15" s="62" t="n">
        <f aca="false">-(Engagements!Q579-Engagements!Q580)</f>
        <v>-9511.83124805341</v>
      </c>
      <c r="R15" s="62" t="n">
        <f aca="false">-(Engagements!R579-Engagements!R580)</f>
        <v>-9809.07597455502</v>
      </c>
      <c r="S15" s="62" t="n">
        <f aca="false">-(Engagements!S579-Engagements!S580)</f>
        <v>-8668.49515178484</v>
      </c>
      <c r="T15" s="62" t="n">
        <f aca="false">-(Engagements!T579-Engagements!T580)</f>
        <v>-5495.68695534598</v>
      </c>
      <c r="U15" s="62" t="n">
        <f aca="false">-(Engagements!U579-Engagements!U580)</f>
        <v>-4188.60465245289</v>
      </c>
      <c r="V15" s="62" t="n">
        <f aca="false">-(Engagements!V579-Engagements!V580)</f>
        <v>-5673.92545119504</v>
      </c>
      <c r="W15" s="62" t="n">
        <f aca="false">-(Engagements!W579-Engagements!W580)</f>
        <v>-5495.68695534598</v>
      </c>
      <c r="X15" s="62" t="n">
        <f aca="false">-(Engagements!X579-Engagements!X580)</f>
        <v>-4812.43938792463</v>
      </c>
      <c r="Y15" s="62" t="n">
        <f aca="false">-(Engagements!Y579-Engagements!Y580)</f>
        <v>-5673.92545119504</v>
      </c>
      <c r="Z15" s="62" t="n">
        <f aca="false">-(Engagements!Z579-Engagements!Z580)</f>
        <v>-1179.00380312946</v>
      </c>
      <c r="AA15" s="62" t="n">
        <f aca="false">-(Engagements!AA579-Engagements!AA580)</f>
        <v>-0</v>
      </c>
      <c r="AB15" s="62" t="n">
        <f aca="false">-(Engagements!AB579-Engagements!AB580)</f>
        <v>-0</v>
      </c>
    </row>
    <row r="16" customFormat="false" ht="15" hidden="false" customHeight="false" outlineLevel="0" collapsed="false">
      <c r="A16" s="68" t="s">
        <v>349</v>
      </c>
      <c r="B16" s="69" t="s">
        <v>51</v>
      </c>
      <c r="C16" s="70" t="n">
        <f aca="false">SUM(E16:P16)</f>
        <v>7254561.78308546</v>
      </c>
      <c r="D16" s="70" t="n">
        <f aca="false">SUM(Q16:AB16)</f>
        <v>7654855.98535179</v>
      </c>
      <c r="E16" s="74" t="n">
        <f aca="false">Engagements!E599</f>
        <v>457500.86</v>
      </c>
      <c r="F16" s="74" t="n">
        <f aca="false">Engagements!F599</f>
        <v>496184.02</v>
      </c>
      <c r="G16" s="74" t="n">
        <f aca="false">Engagements!G599</f>
        <v>626975.9</v>
      </c>
      <c r="H16" s="74" t="n">
        <f aca="false">Engagements!H599</f>
        <v>540305.01</v>
      </c>
      <c r="I16" s="74" t="n">
        <f aca="false">Engagements!I599</f>
        <v>558878.41</v>
      </c>
      <c r="J16" s="74" t="n">
        <f aca="false">Engagements!J599</f>
        <v>701548.67</v>
      </c>
      <c r="K16" s="74" t="n">
        <f aca="false">Engagements!K599</f>
        <v>590211.73</v>
      </c>
      <c r="L16" s="74" t="n">
        <f aca="false">Engagements!L599</f>
        <v>483686.24</v>
      </c>
      <c r="M16" s="74" t="n">
        <f aca="false">Engagements!M599</f>
        <v>734222.963251627</v>
      </c>
      <c r="N16" s="74" t="n">
        <f aca="false">Engagements!N599</f>
        <v>670151.355442415</v>
      </c>
      <c r="O16" s="74" t="n">
        <f aca="false">Engagements!O599</f>
        <v>673184.794790173</v>
      </c>
      <c r="P16" s="74" t="n">
        <f aca="false">Engagements!P599</f>
        <v>721711.829601243</v>
      </c>
      <c r="Q16" s="74" t="n">
        <f aca="false">Engagements!Q599</f>
        <v>656991.045495947</v>
      </c>
      <c r="R16" s="74" t="n">
        <f aca="false">Engagements!R599</f>
        <v>681604.982506458</v>
      </c>
      <c r="S16" s="74" t="n">
        <f aca="false">Engagements!S599</f>
        <v>675253.039134812</v>
      </c>
      <c r="T16" s="74" t="n">
        <f aca="false">Engagements!T599</f>
        <v>673941.857778348</v>
      </c>
      <c r="U16" s="74" t="n">
        <f aca="false">Engagements!U599</f>
        <v>506486.095257692</v>
      </c>
      <c r="V16" s="74" t="n">
        <f aca="false">Engagements!V599</f>
        <v>673388.554336188</v>
      </c>
      <c r="W16" s="74" t="n">
        <f aca="false">Engagements!W599</f>
        <v>639829.028514858</v>
      </c>
      <c r="X16" s="74" t="n">
        <f aca="false">Engagements!X599</f>
        <v>548972.039739203</v>
      </c>
      <c r="Y16" s="74" t="n">
        <f aca="false">Engagements!Y599</f>
        <v>673946.870088757</v>
      </c>
      <c r="Z16" s="74" t="n">
        <f aca="false">Engagements!Z599</f>
        <v>608426.456969989</v>
      </c>
      <c r="AA16" s="74" t="n">
        <f aca="false">Engagements!AA599</f>
        <v>632126.685039381</v>
      </c>
      <c r="AB16" s="74" t="n">
        <f aca="false">Engagements!AB599</f>
        <v>683889.330490152</v>
      </c>
    </row>
    <row r="17" customFormat="false" ht="15" hidden="false" customHeight="false" outlineLevel="0" collapsed="false">
      <c r="A17" s="29" t="s">
        <v>710</v>
      </c>
      <c r="B17" s="60"/>
      <c r="E17" s="71" t="n">
        <f aca="false">ROUND(E10+E11+E13+E14+E15-E16,0)</f>
        <v>0</v>
      </c>
      <c r="F17" s="71" t="n">
        <f aca="false">ROUND(F10+F11+F13+F14+F15-F16,0)</f>
        <v>0</v>
      </c>
      <c r="G17" s="71" t="n">
        <f aca="false">ROUND(G10+G11+G13+G14+G15-G16,0)</f>
        <v>0</v>
      </c>
      <c r="H17" s="71" t="n">
        <f aca="false">ROUND(H10+H11+H13+H14+H15-H16,0)</f>
        <v>0</v>
      </c>
      <c r="I17" s="71" t="n">
        <f aca="false">ROUND(I10+I11+I13+I14+I15-I16,0)</f>
        <v>0</v>
      </c>
      <c r="J17" s="71" t="n">
        <f aca="false">ROUND(J10+J11+J13+J14+J15-J16,0)</f>
        <v>0</v>
      </c>
      <c r="K17" s="71" t="n">
        <f aca="false">ROUND(K10+K11+K13+K14+K15-K16,0)</f>
        <v>0</v>
      </c>
      <c r="L17" s="71" t="n">
        <f aca="false">ROUND(L10+L11+L13+L14+L15-L16,0)</f>
        <v>0</v>
      </c>
      <c r="M17" s="71" t="n">
        <f aca="false">ROUND(M10+M11+M13+M14+M15-M16,0)</f>
        <v>0</v>
      </c>
      <c r="N17" s="71" t="n">
        <f aca="false">ROUND(N10+N11+N13+N14+N15-N16,0)</f>
        <v>0</v>
      </c>
      <c r="O17" s="71" t="n">
        <f aca="false">ROUND(O10+O11+O13+O14+O15-O16,0)</f>
        <v>0</v>
      </c>
      <c r="P17" s="71" t="n">
        <f aca="false">ROUND(P10+P11+P13+P14+P15-P16,0)</f>
        <v>0</v>
      </c>
      <c r="Q17" s="71" t="n">
        <f aca="false">ROUND(Q10+Q11+Q13+Q14+Q15-Q16,0)</f>
        <v>0</v>
      </c>
      <c r="R17" s="71" t="n">
        <f aca="false">ROUND(R10+R11+R13+R14+R15-R16,0)</f>
        <v>0</v>
      </c>
      <c r="S17" s="71" t="n">
        <f aca="false">ROUND(S10+S11+S13+S14+S15-S16,0)</f>
        <v>0</v>
      </c>
      <c r="T17" s="71" t="n">
        <f aca="false">ROUND(T10+T11+T13+T14+T15-T16,0)</f>
        <v>0</v>
      </c>
      <c r="U17" s="71" t="n">
        <f aca="false">ROUND(U10+U11+U13+U14+U15-U16,0)</f>
        <v>0</v>
      </c>
      <c r="V17" s="71" t="n">
        <f aca="false">ROUND(V10+V11+V13+V14+V15-V16,0)</f>
        <v>0</v>
      </c>
      <c r="W17" s="71" t="n">
        <f aca="false">ROUND(W10+W11+W13+W14+W15-W16,0)</f>
        <v>0</v>
      </c>
      <c r="X17" s="71" t="n">
        <f aca="false">ROUND(X10+X11+X13+X14+X15-X16,0)</f>
        <v>0</v>
      </c>
      <c r="Y17" s="71" t="n">
        <f aca="false">ROUND(Y10+Y11+Y13+Y14+Y15-Y16,0)</f>
        <v>0</v>
      </c>
      <c r="Z17" s="71" t="n">
        <f aca="false">ROUND(Z10+Z11+Z13+Z14+Z15-Z16,0)</f>
        <v>0</v>
      </c>
      <c r="AA17" s="71" t="n">
        <f aca="false">ROUND(AA10+AA11+AA13+AA14+AA15-AA16,0)</f>
        <v>0</v>
      </c>
      <c r="AB17" s="71" t="n">
        <f aca="false">ROUND(AB10+AB11+AB13+AB14+AB15-AB16,0)</f>
        <v>0</v>
      </c>
    </row>
    <row r="18" customFormat="false" ht="15" hidden="false" customHeight="false" outlineLevel="0" collapsed="false">
      <c r="A18" s="29" t="s">
        <v>711</v>
      </c>
      <c r="B18" s="60"/>
      <c r="C18" s="63" t="n">
        <f aca="false">IF(C10=0,0,C12/C10)</f>
        <v>0.934943506687088</v>
      </c>
      <c r="D18" s="63" t="n">
        <f aca="false">IF(D10=0,0,D12/D10)</f>
        <v>0.924143363274331</v>
      </c>
      <c r="E18" s="64" t="n">
        <f aca="false">IF(E10=0,0,E12/E10)</f>
        <v>0.927811858268426</v>
      </c>
      <c r="F18" s="64" t="n">
        <f aca="false">IF(F10=0,0,F12/F10)</f>
        <v>0.930220852955404</v>
      </c>
      <c r="G18" s="64" t="n">
        <f aca="false">IF(G10=0,0,G12/G10)</f>
        <v>0.932354010879841</v>
      </c>
      <c r="H18" s="64" t="n">
        <f aca="false">IF(H10=0,0,H12/H10)</f>
        <v>0.931331045431956</v>
      </c>
      <c r="I18" s="64" t="n">
        <f aca="false">IF(I10=0,0,I12/I10)</f>
        <v>0.932954134225907</v>
      </c>
      <c r="J18" s="64" t="n">
        <f aca="false">IF(J10=0,0,J12/J10)</f>
        <v>0.933376894044008</v>
      </c>
      <c r="K18" s="64" t="n">
        <f aca="false">IF(K10=0,0,K12/K10)</f>
        <v>0.938129694849373</v>
      </c>
      <c r="L18" s="64" t="n">
        <f aca="false">IF(L10=0,0,L12/L10)</f>
        <v>0.940475052543906</v>
      </c>
      <c r="M18" s="64" t="n">
        <f aca="false">IF(M10=0,0,M12/M10)</f>
        <v>0.939160578889913</v>
      </c>
      <c r="N18" s="64" t="n">
        <f aca="false">IF(N10=0,0,N12/N10)</f>
        <v>0.939951802944592</v>
      </c>
      <c r="O18" s="64" t="n">
        <f aca="false">IF(O10=0,0,O12/O10)</f>
        <v>0.93461725824633</v>
      </c>
      <c r="P18" s="64" t="n">
        <f aca="false">IF(P10=0,0,P12/P10)</f>
        <v>0.935949791600917</v>
      </c>
      <c r="Q18" s="64" t="n">
        <f aca="false">IF(Q10=0,0,Q12/Q10)</f>
        <v>0.929895626302474</v>
      </c>
      <c r="R18" s="64" t="n">
        <f aca="false">IF(R10=0,0,R12/R10)</f>
        <v>0.929773659306087</v>
      </c>
      <c r="S18" s="64" t="n">
        <f aca="false">IF(S10=0,0,S12/S10)</f>
        <v>0.928477205658208</v>
      </c>
      <c r="T18" s="64" t="n">
        <f aca="false">IF(T10=0,0,T12/T10)</f>
        <v>0.92643245771933</v>
      </c>
      <c r="U18" s="64" t="n">
        <f aca="false">IF(U10=0,0,U12/U10)</f>
        <v>0.925881217739296</v>
      </c>
      <c r="V18" s="64" t="n">
        <f aca="false">IF(V10=0,0,V12/V10)</f>
        <v>0.923755768945179</v>
      </c>
      <c r="W18" s="64" t="n">
        <f aca="false">IF(W10=0,0,W12/W10)</f>
        <v>0.923022575167619</v>
      </c>
      <c r="X18" s="64" t="n">
        <f aca="false">IF(X10=0,0,X12/X10)</f>
        <v>0.920634516141336</v>
      </c>
      <c r="Y18" s="64" t="n">
        <f aca="false">IF(Y10=0,0,Y12/Y10)</f>
        <v>0.920609473056237</v>
      </c>
      <c r="Z18" s="64" t="n">
        <f aca="false">IF(Z10=0,0,Z12/Z10)</f>
        <v>0.920617422570215</v>
      </c>
      <c r="AA18" s="64" t="n">
        <f aca="false">IF(AA10=0,0,AA12/AA10)</f>
        <v>0.92</v>
      </c>
      <c r="AB18" s="64" t="n">
        <f aca="false">IF(AB10=0,0,AB12/AB10)</f>
        <v>0.92</v>
      </c>
    </row>
    <row r="19" customFormat="false" ht="15" hidden="false" customHeight="false" outlineLevel="0" collapsed="false">
      <c r="A19" s="29" t="s">
        <v>712</v>
      </c>
      <c r="B19" s="60"/>
      <c r="C19" s="63" t="n">
        <f aca="false">IF(C12=0,0,C16/C12)</f>
        <v>0.952217080598035</v>
      </c>
      <c r="D19" s="63" t="n">
        <f aca="false">IF(D12=0,0,D16/D12)</f>
        <v>0.956630188406011</v>
      </c>
      <c r="E19" s="64" t="n">
        <f aca="false">IF(E12=0,0,E16/E12)</f>
        <v>0.970861502420848</v>
      </c>
      <c r="F19" s="64" t="n">
        <f aca="false">IF(F12=0,0,F16/F12)</f>
        <v>0.956473875104922</v>
      </c>
      <c r="G19" s="64" t="n">
        <f aca="false">IF(G12=0,0,G16/G12)</f>
        <v>0.93070280865071</v>
      </c>
      <c r="H19" s="64" t="n">
        <f aca="false">IF(H12=0,0,H16/H12)</f>
        <v>0.930260438279641</v>
      </c>
      <c r="I19" s="64" t="n">
        <f aca="false">IF(I12=0,0,I16/I12)</f>
        <v>0.949941740323306</v>
      </c>
      <c r="J19" s="64" t="n">
        <f aca="false">IF(J12=0,0,J16/J12)</f>
        <v>0.957728931047116</v>
      </c>
      <c r="K19" s="64" t="n">
        <f aca="false">IF(K12=0,0,K16/K12)</f>
        <v>0.938009573983262</v>
      </c>
      <c r="L19" s="64" t="n">
        <f aca="false">IF(L12=0,0,L16/L12)</f>
        <v>0.96270150717646</v>
      </c>
      <c r="M19" s="64" t="n">
        <f aca="false">IF(M12=0,0,M16/M12)</f>
        <v>0.937978222537211</v>
      </c>
      <c r="N19" s="64" t="n">
        <f aca="false">IF(N12=0,0,N16/N12)</f>
        <v>0.966135267809267</v>
      </c>
      <c r="O19" s="64" t="n">
        <f aca="false">IF(O12=0,0,O16/O12)</f>
        <v>0.965525484270284</v>
      </c>
      <c r="P19" s="64" t="n">
        <f aca="false">IF(P12=0,0,P16/P12)</f>
        <v>0.964833856331963</v>
      </c>
      <c r="Q19" s="64" t="n">
        <f aca="false">IF(Q12=0,0,Q16/Q12)</f>
        <v>0.955385786946943</v>
      </c>
      <c r="R19" s="64" t="n">
        <f aca="false">IF(R12=0,0,R16/R12)</f>
        <v>0.955403101280183</v>
      </c>
      <c r="S19" s="64" t="n">
        <f aca="false">IF(S12=0,0,S16/S12)</f>
        <v>0.955541036203587</v>
      </c>
      <c r="T19" s="64" t="n">
        <f aca="false">IF(T12=0,0,T16/T12)</f>
        <v>0.956358900273707</v>
      </c>
      <c r="U19" s="64" t="n">
        <f aca="false">IF(U12=0,0,U16/U12)</f>
        <v>0.955673498658382</v>
      </c>
      <c r="V19" s="64" t="n">
        <f aca="false">IF(V12=0,0,V16/V12)</f>
        <v>0.955228361170923</v>
      </c>
      <c r="W19" s="64" t="n">
        <f aca="false">IF(W12=0,0,W16/W12)</f>
        <v>0.955340205733431</v>
      </c>
      <c r="X19" s="64" t="n">
        <f aca="false">IF(X12=0,0,X16/X12)</f>
        <v>0.955496216966169</v>
      </c>
      <c r="Y19" s="64" t="n">
        <f aca="false">IF(Y12=0,0,Y16/Y12)</f>
        <v>0.95567385460964</v>
      </c>
      <c r="Z19" s="64" t="n">
        <f aca="false">IF(Z12=0,0,Z16/Z12)</f>
        <v>0.959401722636293</v>
      </c>
      <c r="AA19" s="64" t="n">
        <f aca="false">IF(AA12=0,0,AA16/AA12)</f>
        <v>0.96</v>
      </c>
      <c r="AB19" s="64" t="n">
        <f aca="false">IF(AB12=0,0,AB16/AB12)</f>
        <v>0.96</v>
      </c>
    </row>
    <row r="20" customFormat="false" ht="15" hidden="false" customHeight="false" outlineLevel="0" collapsed="false">
      <c r="A20" s="68" t="s">
        <v>713</v>
      </c>
      <c r="B20" s="69"/>
      <c r="C20" s="75" t="n">
        <f aca="false">IF(C10=0,0,C16/C10)</f>
        <v>0.890269176461668</v>
      </c>
      <c r="D20" s="75" t="n">
        <f aca="false">IF(D10=0,0,D16/D10)</f>
        <v>0.884063439723288</v>
      </c>
      <c r="E20" s="75" t="n">
        <f aca="false">IF(E10=0,0,E16/E10)</f>
        <v>0.900776814682363</v>
      </c>
      <c r="F20" s="75" t="n">
        <f aca="false">IF(F10=0,0,F16/F10)</f>
        <v>0.889731943929661</v>
      </c>
      <c r="G20" s="75" t="n">
        <f aca="false">IF(G10=0,0,G16/G10)</f>
        <v>0.867744496582623</v>
      </c>
      <c r="H20" s="75" t="n">
        <f aca="false">IF(H10=0,0,H16/H10)</f>
        <v>0.866380426506967</v>
      </c>
      <c r="I20" s="75" t="n">
        <f aca="false">IF(I10=0,0,I16/I10)</f>
        <v>0.886252073908381</v>
      </c>
      <c r="J20" s="75" t="n">
        <f aca="false">IF(J10=0,0,J16/J10)</f>
        <v>0.893922054996845</v>
      </c>
      <c r="K20" s="75" t="n">
        <f aca="false">IF(K10=0,0,K16/K10)</f>
        <v>0.879974635406708</v>
      </c>
      <c r="L20" s="75" t="n">
        <f aca="false">IF(L10=0,0,L16/L10)</f>
        <v>0.905396750545879</v>
      </c>
      <c r="M20" s="75" t="n">
        <f aca="false">IF(M10=0,0,M16/M10)</f>
        <v>0.880912170464179</v>
      </c>
      <c r="N20" s="75" t="n">
        <f aca="false">IF(N10=0,0,N16/N10)</f>
        <v>0.908120586865676</v>
      </c>
      <c r="O20" s="75" t="n">
        <f aca="false">IF(O10=0,0,O16/O10)</f>
        <v>0.902396780875653</v>
      </c>
      <c r="P20" s="75" t="n">
        <f aca="false">IF(P10=0,0,P16/P10)</f>
        <v>0.90303604676341</v>
      </c>
      <c r="Q20" s="75" t="n">
        <f aca="false">IF(Q10=0,0,Q16/Q10)</f>
        <v>0.888409064713509</v>
      </c>
      <c r="R20" s="75" t="n">
        <f aca="false">IF(R10=0,0,R16/R10)</f>
        <v>0.88830863758966</v>
      </c>
      <c r="S20" s="75" t="n">
        <f aca="false">IF(S10=0,0,S16/S10)</f>
        <v>0.887198071186054</v>
      </c>
      <c r="T20" s="75" t="n">
        <f aca="false">IF(T10=0,0,T16/T10)</f>
        <v>0.886001926442325</v>
      </c>
      <c r="U20" s="75" t="n">
        <f aca="false">IF(U10=0,0,U16/U10)</f>
        <v>0.884840142698996</v>
      </c>
      <c r="V20" s="75" t="n">
        <f aca="false">IF(V10=0,0,V16/V10)</f>
        <v>0.882397709291689</v>
      </c>
      <c r="W20" s="75" t="n">
        <f aca="false">IF(W10=0,0,W16/W10)</f>
        <v>0.881800576857234</v>
      </c>
      <c r="X20" s="75" t="n">
        <f aca="false">IF(X10=0,0,X16/X10)</f>
        <v>0.879662797381525</v>
      </c>
      <c r="Y20" s="75" t="n">
        <f aca="false">IF(Y10=0,0,Y16/Y10)</f>
        <v>0.879802403705803</v>
      </c>
      <c r="Z20" s="75" t="n">
        <f aca="false">IF(Z10=0,0,Z16/Z10)</f>
        <v>0.883241941102849</v>
      </c>
      <c r="AA20" s="75" t="n">
        <f aca="false">IF(AA10=0,0,AA16/AA10)</f>
        <v>0.8832</v>
      </c>
      <c r="AB20" s="75" t="n">
        <f aca="false">IF(AB10=0,0,AB16/AB10)</f>
        <v>0.8832</v>
      </c>
    </row>
    <row r="21" customFormat="false" ht="15" hidden="false" customHeight="false" outlineLevel="0" collapsed="false">
      <c r="A21" s="29" t="s">
        <v>714</v>
      </c>
      <c r="B21" s="60"/>
      <c r="C21" s="111" t="n">
        <f aca="false">IF(C9=0,0,C16/C9)</f>
        <v>178.503803266885</v>
      </c>
      <c r="D21" s="111" t="n">
        <f aca="false">IF(D9=0,0,D16/D9)</f>
        <v>183.626063980154</v>
      </c>
      <c r="E21" s="112" t="n">
        <f aca="false">IF(E9=0,0,E16/E9)</f>
        <v>181.641664350657</v>
      </c>
      <c r="F21" s="112" t="n">
        <f aca="false">IF(F9=0,0,F16/F9)</f>
        <v>178.817940031714</v>
      </c>
      <c r="G21" s="112" t="n">
        <f aca="false">IF(G9=0,0,G16/G9)</f>
        <v>174.581878428424</v>
      </c>
      <c r="H21" s="112" t="n">
        <f aca="false">IF(H9=0,0,H16/H9)</f>
        <v>174.134655794766</v>
      </c>
      <c r="I21" s="112" t="n">
        <f aca="false">IF(I9=0,0,I16/I9)</f>
        <v>177.765962657845</v>
      </c>
      <c r="J21" s="112" t="n">
        <f aca="false">IF(J9=0,0,J16/J9)</f>
        <v>179.03957482646</v>
      </c>
      <c r="K21" s="112" t="n">
        <f aca="false">IF(K9=0,0,K16/K9)</f>
        <v>176.567364705178</v>
      </c>
      <c r="L21" s="112" t="n">
        <f aca="false">IF(L9=0,0,L16/L9)</f>
        <v>181.871118631322</v>
      </c>
      <c r="M21" s="112" t="n">
        <f aca="false">IF(M9=0,0,M16/M9)</f>
        <v>176.040694596246</v>
      </c>
      <c r="N21" s="112" t="n">
        <f aca="false">IF(N9=0,0,N16/N9)</f>
        <v>181.834747877279</v>
      </c>
      <c r="O21" s="112" t="n">
        <f aca="false">IF(O9=0,0,O16/O9)</f>
        <v>180.943563412831</v>
      </c>
      <c r="P21" s="112" t="n">
        <f aca="false">IF(P9=0,0,P16/P9)</f>
        <v>179.88066836207</v>
      </c>
      <c r="Q21" s="112" t="n">
        <f aca="false">IF(Q9=0,0,Q16/Q9)</f>
        <v>184.179047484427</v>
      </c>
      <c r="R21" s="112" t="n">
        <f aca="false">IF(R9=0,0,R16/R9)</f>
        <v>184.014368082267</v>
      </c>
      <c r="S21" s="112" t="n">
        <f aca="false">IF(S9=0,0,S16/S9)</f>
        <v>185.02111720858</v>
      </c>
      <c r="T21" s="112" t="n">
        <f aca="false">IF(T9=0,0,T16/T9)</f>
        <v>185.16384315261</v>
      </c>
      <c r="U21" s="112" t="n">
        <f aca="false">IF(U9=0,0,U16/U9)</f>
        <v>184.966892258649</v>
      </c>
      <c r="V21" s="112" t="n">
        <f aca="false">IF(V9=0,0,V16/V9)</f>
        <v>184.47039359644</v>
      </c>
      <c r="W21" s="112" t="n">
        <f aca="false">IF(W9=0,0,W16/W9)</f>
        <v>184.415688254437</v>
      </c>
      <c r="X21" s="112" t="n">
        <f aca="false">IF(X9=0,0,X16/X9)</f>
        <v>184.043238979896</v>
      </c>
      <c r="Y21" s="112" t="n">
        <f aca="false">IF(Y9=0,0,Y16/Y9)</f>
        <v>181.30061552447</v>
      </c>
      <c r="Z21" s="112" t="n">
        <f aca="false">IF(Z9=0,0,Z16/Z9)</f>
        <v>182.059553454544</v>
      </c>
      <c r="AA21" s="112" t="n">
        <f aca="false">IF(AA9=0,0,AA16/AA9)</f>
        <v>182.092720049938</v>
      </c>
      <c r="AB21" s="112" t="n">
        <f aca="false">IF(AB9=0,0,AB16/AB9)</f>
        <v>182.125545378114</v>
      </c>
    </row>
    <row r="22" customFormat="false" ht="15" hidden="false" customHeight="false" outlineLevel="0" collapsed="false">
      <c r="A22" s="23" t="s">
        <v>715</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row>
    <row r="23" customFormat="false" ht="15" hidden="false" customHeight="false" outlineLevel="0" collapsed="false">
      <c r="A23" s="29" t="s">
        <v>716</v>
      </c>
      <c r="B23" s="60" t="s">
        <v>54</v>
      </c>
      <c r="C23" s="61" t="n">
        <f aca="false">SUM(E23:P23)</f>
        <v>7342030.65821102</v>
      </c>
      <c r="D23" s="61" t="n">
        <f aca="false">SUM(Q23:AB23)</f>
        <v>8069957.04547509</v>
      </c>
      <c r="E23" s="62" t="n">
        <f aca="false">Clients!E211</f>
        <v>443372.2</v>
      </c>
      <c r="F23" s="62" t="n">
        <f aca="false">Clients!F211</f>
        <v>492739.82</v>
      </c>
      <c r="G23" s="62" t="n">
        <f aca="false">Clients!G211</f>
        <v>526521.74</v>
      </c>
      <c r="H23" s="62" t="n">
        <f aca="false">Clients!H211</f>
        <v>670780.72</v>
      </c>
      <c r="I23" s="62" t="n">
        <f aca="false">Clients!I211</f>
        <v>538067.52</v>
      </c>
      <c r="J23" s="62" t="n">
        <f aca="false">Clients!J211</f>
        <v>696500.51</v>
      </c>
      <c r="K23" s="62" t="n">
        <f aca="false">Clients!K211</f>
        <v>707543.6</v>
      </c>
      <c r="L23" s="62" t="n">
        <f aca="false">Clients!L211</f>
        <v>628336.11</v>
      </c>
      <c r="M23" s="62" t="n">
        <f aca="false">Clients!M211</f>
        <v>544838.3186</v>
      </c>
      <c r="N23" s="62" t="n">
        <f aca="false">Clients!N211</f>
        <v>704419.253277051</v>
      </c>
      <c r="O23" s="62" t="n">
        <f aca="false">Clients!O211</f>
        <v>660337.45750606</v>
      </c>
      <c r="P23" s="62" t="n">
        <f aca="false">Clients!P211</f>
        <v>728573.408827909</v>
      </c>
      <c r="Q23" s="62" t="n">
        <f aca="false">Clients!Q211</f>
        <v>729939.357472565</v>
      </c>
      <c r="R23" s="62" t="n">
        <f aca="false">Clients!R211</f>
        <v>732263.313335454</v>
      </c>
      <c r="S23" s="62" t="n">
        <f aca="false">Clients!S211</f>
        <v>681214.77050376</v>
      </c>
      <c r="T23" s="62" t="n">
        <f aca="false">Clients!T211</f>
        <v>695090.635590434</v>
      </c>
      <c r="U23" s="62" t="n">
        <f aca="false">Clients!U211</f>
        <v>732960.276519074</v>
      </c>
      <c r="V23" s="62" t="n">
        <f aca="false">Clients!V211</f>
        <v>530389.332479381</v>
      </c>
      <c r="W23" s="62" t="n">
        <f aca="false">Clients!W211</f>
        <v>717657.791780502</v>
      </c>
      <c r="X23" s="62" t="n">
        <f aca="false">Clients!X211</f>
        <v>665543.502505063</v>
      </c>
      <c r="Y23" s="62" t="n">
        <f aca="false">Clients!Y211</f>
        <v>588493.132743827</v>
      </c>
      <c r="Z23" s="62" t="n">
        <f aca="false">Clients!Z211</f>
        <v>687111.3386334</v>
      </c>
      <c r="AA23" s="62" t="n">
        <f aca="false">Clients!AA211</f>
        <v>637835.323625286</v>
      </c>
      <c r="AB23" s="62" t="n">
        <f aca="false">Clients!AB211</f>
        <v>671458.270286347</v>
      </c>
    </row>
    <row r="24" customFormat="false" ht="15" hidden="false" customHeight="false" outlineLevel="0" collapsed="false">
      <c r="A24" s="29" t="s">
        <v>717</v>
      </c>
      <c r="B24" s="60" t="s">
        <v>51</v>
      </c>
      <c r="C24" s="61" t="n">
        <f aca="false">P24</f>
        <v>660475.621276847</v>
      </c>
      <c r="D24" s="61" t="n">
        <f aca="false">AB24</f>
        <v>726433.972420348</v>
      </c>
      <c r="E24" s="62" t="n">
        <f aca="false">Engagements!E604</f>
        <v>416046.58</v>
      </c>
      <c r="F24" s="62" t="n">
        <f aca="false">Engagements!F604</f>
        <v>439546.84</v>
      </c>
      <c r="G24" s="62" t="n">
        <f aca="false">Engagements!G604</f>
        <v>560306.13</v>
      </c>
      <c r="H24" s="62" t="n">
        <f aca="false">Engagements!H604</f>
        <v>470979.52</v>
      </c>
      <c r="I24" s="62" t="n">
        <f aca="false">Engagements!I604</f>
        <v>497583.64</v>
      </c>
      <c r="J24" s="62" t="n">
        <f aca="false">Engagements!J604</f>
        <v>572638.86</v>
      </c>
      <c r="K24" s="62" t="n">
        <f aca="false">Engagements!K604</f>
        <v>469393.58</v>
      </c>
      <c r="L24" s="62" t="n">
        <f aca="false">Engagements!L604</f>
        <v>375257.74</v>
      </c>
      <c r="M24" s="62" t="n">
        <f aca="false">Engagements!M604</f>
        <v>584166.354642452</v>
      </c>
      <c r="N24" s="62" t="n">
        <f aca="false">Engagements!N604</f>
        <v>579554.721362151</v>
      </c>
      <c r="O24" s="62" t="n">
        <f aca="false">Engagements!O604</f>
        <v>627286.194548813</v>
      </c>
      <c r="P24" s="62" t="n">
        <f aca="false">Engagements!P604</f>
        <v>660475.621276847</v>
      </c>
      <c r="Q24" s="62" t="n">
        <f aca="false">Engagements!Q604</f>
        <v>639335.282618894</v>
      </c>
      <c r="R24" s="62" t="n">
        <f aca="false">Engagements!R604</f>
        <v>637718.365646613</v>
      </c>
      <c r="S24" s="62" t="n">
        <f aca="false">Engagements!S604</f>
        <v>654730.791290094</v>
      </c>
      <c r="T24" s="62" t="n">
        <f aca="false">Engagements!T604</f>
        <v>679249.80518922</v>
      </c>
      <c r="U24" s="62" t="n">
        <f aca="false">Engagements!U604</f>
        <v>490281.628451821</v>
      </c>
      <c r="V24" s="62" t="n">
        <f aca="false">Engagements!V604</f>
        <v>668856.357557407</v>
      </c>
      <c r="W24" s="62" t="n">
        <f aca="false">Engagements!W604</f>
        <v>631979.139947312</v>
      </c>
      <c r="X24" s="62" t="n">
        <f aca="false">Engagements!X604</f>
        <v>550116.330798151</v>
      </c>
      <c r="Y24" s="62" t="n">
        <f aca="false">Engagements!Y604</f>
        <v>678763.44963653</v>
      </c>
      <c r="Z24" s="62" t="n">
        <f aca="false">Engagements!Z604</f>
        <v>637835.323625286</v>
      </c>
      <c r="AA24" s="62" t="n">
        <f aca="false">Engagements!AA604</f>
        <v>671458.270286347</v>
      </c>
      <c r="AB24" s="62" t="n">
        <f aca="false">Engagements!AB604</f>
        <v>726433.972420348</v>
      </c>
    </row>
    <row r="25" customFormat="false" ht="15" hidden="false" customHeight="false" outlineLevel="0" collapsed="false">
      <c r="A25" s="29" t="s">
        <v>718</v>
      </c>
      <c r="B25" s="60" t="s">
        <v>51</v>
      </c>
      <c r="C25" s="61" t="n">
        <f aca="false">P25</f>
        <v>3002.17706821496</v>
      </c>
      <c r="D25" s="61" t="n">
        <f aca="false">AB25</f>
        <v>1.56433088704944E-010</v>
      </c>
      <c r="E25" s="62" t="n">
        <f aca="false">Engagements!E605</f>
        <v>44115.87</v>
      </c>
      <c r="F25" s="62" t="n">
        <f aca="false">Engagements!F605</f>
        <v>35015.54</v>
      </c>
      <c r="G25" s="62" t="n">
        <f aca="false">Engagements!G605</f>
        <v>23217.76</v>
      </c>
      <c r="H25" s="62" t="n">
        <f aca="false">Engagements!H605</f>
        <v>36015.43</v>
      </c>
      <c r="I25" s="62" t="n">
        <f aca="false">Engagements!I605</f>
        <v>11299.39</v>
      </c>
      <c r="J25" s="62" t="n">
        <f aca="false">Engagements!J605</f>
        <v>38346.58</v>
      </c>
      <c r="K25" s="62" t="n">
        <f aca="false">Engagements!K605</f>
        <v>15745.86</v>
      </c>
      <c r="L25" s="62" t="n">
        <f aca="false">Engagements!L605</f>
        <v>39044.51</v>
      </c>
      <c r="M25" s="62" t="n">
        <f aca="false">Engagements!M605</f>
        <v>13581.2155390494</v>
      </c>
      <c r="N25" s="62" t="n">
        <f aca="false">Engagements!N605</f>
        <v>5870.96774193564</v>
      </c>
      <c r="O25" s="62" t="n">
        <f aca="false">Engagements!O605</f>
        <v>4578.66184448478</v>
      </c>
      <c r="P25" s="62" t="n">
        <f aca="false">Engagements!P605</f>
        <v>3002.17706821496</v>
      </c>
      <c r="Q25" s="62" t="n">
        <f aca="false">Engagements!Q605</f>
        <v>13511.9234543672</v>
      </c>
      <c r="R25" s="62" t="n">
        <f aca="false">Engagements!R605</f>
        <v>19788.2614082182</v>
      </c>
      <c r="S25" s="62" t="n">
        <f aca="false">Engagements!S605</f>
        <v>1.56433088704944E-010</v>
      </c>
      <c r="T25" s="62" t="n">
        <f aca="false">Engagements!T605</f>
        <v>2439.00883218858</v>
      </c>
      <c r="U25" s="62" t="n">
        <f aca="false">Engagements!U605</f>
        <v>7037.93103448293</v>
      </c>
      <c r="V25" s="62" t="n">
        <f aca="false">Engagements!V605</f>
        <v>1.56433088704944E-010</v>
      </c>
      <c r="W25" s="62" t="n">
        <f aca="false">Engagements!W605</f>
        <v>1.56433088704944E-010</v>
      </c>
      <c r="X25" s="62" t="n">
        <f aca="false">Engagements!X605</f>
        <v>1.56433088704944E-010</v>
      </c>
      <c r="Y25" s="62" t="n">
        <f aca="false">Engagements!Y605</f>
        <v>1.56433088704944E-010</v>
      </c>
      <c r="Z25" s="62" t="n">
        <f aca="false">Engagements!Z605</f>
        <v>1.56433088704944E-010</v>
      </c>
      <c r="AA25" s="62" t="n">
        <f aca="false">Engagements!AA605</f>
        <v>1.56433088704944E-010</v>
      </c>
      <c r="AB25" s="62" t="n">
        <f aca="false">Engagements!AB605</f>
        <v>1.56433088704944E-010</v>
      </c>
    </row>
    <row r="26" customFormat="false" ht="15" hidden="false" customHeight="false" outlineLevel="0" collapsed="false">
      <c r="A26" s="29" t="s">
        <v>719</v>
      </c>
      <c r="B26" s="60" t="s">
        <v>54</v>
      </c>
      <c r="C26" s="61" t="n">
        <f aca="false">SUM(E26:P26)</f>
        <v>8591139.17745023</v>
      </c>
      <c r="D26" s="61" t="n">
        <f aca="false">SUM(Q26:AB26)</f>
        <v>9508258.73772844</v>
      </c>
      <c r="E26" s="62" t="n">
        <f aca="false">Clients!E213</f>
        <v>527612.918</v>
      </c>
      <c r="F26" s="62" t="n">
        <f aca="false">Clients!F213</f>
        <v>586360.3858</v>
      </c>
      <c r="G26" s="62" t="n">
        <f aca="false">Clients!G213</f>
        <v>614792.8045</v>
      </c>
      <c r="H26" s="62" t="n">
        <f aca="false">Clients!H213</f>
        <v>784999.8755</v>
      </c>
      <c r="I26" s="62" t="n">
        <f aca="false">Clients!I213</f>
        <v>628833.6246</v>
      </c>
      <c r="J26" s="62" t="n">
        <f aca="false">Clients!J213</f>
        <v>808468.5436</v>
      </c>
      <c r="K26" s="62" t="n">
        <f aca="false">Clients!K213</f>
        <v>829091.7946</v>
      </c>
      <c r="L26" s="62" t="n">
        <f aca="false">Clients!L213</f>
        <v>733153.3777</v>
      </c>
      <c r="M26" s="62" t="n">
        <f aca="false">Clients!M213</f>
        <v>623532.187734</v>
      </c>
      <c r="N26" s="62" t="n">
        <f aca="false">Clients!N213</f>
        <v>824756.903954652</v>
      </c>
      <c r="O26" s="62" t="n">
        <f aca="false">Clients!O213</f>
        <v>762534.404956362</v>
      </c>
      <c r="P26" s="62" t="n">
        <f aca="false">Clients!P213</f>
        <v>867002.356505211</v>
      </c>
      <c r="Q26" s="62" t="n">
        <f aca="false">Clients!Q213</f>
        <v>860943.561924155</v>
      </c>
      <c r="R26" s="62" t="n">
        <f aca="false">Clients!R213</f>
        <v>857658.072361458</v>
      </c>
      <c r="S26" s="62" t="n">
        <f aca="false">Clients!S213</f>
        <v>796481.079188376</v>
      </c>
      <c r="T26" s="62" t="n">
        <f aca="false">Clients!T213</f>
        <v>811963.213353438</v>
      </c>
      <c r="U26" s="62" t="n">
        <f aca="false">Clients!U213</f>
        <v>856341.322533133</v>
      </c>
      <c r="V26" s="62" t="n">
        <f aca="false">Clients!V213</f>
        <v>619059.098515524</v>
      </c>
      <c r="W26" s="62" t="n">
        <f aca="false">Clients!W213</f>
        <v>845770.386644674</v>
      </c>
      <c r="X26" s="62" t="n">
        <f aca="false">Clients!X213</f>
        <v>784013.305513942</v>
      </c>
      <c r="Y26" s="62" t="n">
        <f aca="false">Clients!Y213</f>
        <v>700306.827965154</v>
      </c>
      <c r="Z26" s="62" t="n">
        <f aca="false">Clients!Z213</f>
        <v>817662.492973746</v>
      </c>
      <c r="AA26" s="62" t="n">
        <f aca="false">Clients!AA213</f>
        <v>759024.03511409</v>
      </c>
      <c r="AB26" s="62" t="n">
        <f aca="false">Clients!AB213</f>
        <v>799035.341640753</v>
      </c>
    </row>
    <row r="27" customFormat="false" ht="15" hidden="false" customHeight="false" outlineLevel="0" collapsed="false">
      <c r="A27" s="29" t="s">
        <v>720</v>
      </c>
      <c r="B27" s="60" t="s">
        <v>54</v>
      </c>
      <c r="C27" s="61" t="n">
        <f aca="false">SUM(E27:P27)</f>
        <v>8319774.8840356</v>
      </c>
      <c r="D27" s="61" t="n">
        <f aca="false">SUM(Q27:AB27)</f>
        <v>9628651.15145314</v>
      </c>
      <c r="E27" s="62" t="n">
        <f aca="false">Clients!E214</f>
        <v>736213.53</v>
      </c>
      <c r="F27" s="62" t="n">
        <f aca="false">Clients!F214</f>
        <v>605889.31</v>
      </c>
      <c r="G27" s="62" t="n">
        <f aca="false">Clients!G214</f>
        <v>557961.02</v>
      </c>
      <c r="H27" s="62" t="n">
        <f aca="false">Clients!H214</f>
        <v>624076.13</v>
      </c>
      <c r="I27" s="62" t="n">
        <f aca="false">Clients!I214</f>
        <v>704791.3</v>
      </c>
      <c r="J27" s="62" t="n">
        <f aca="false">Clients!J214</f>
        <v>641897.65</v>
      </c>
      <c r="K27" s="62" t="n">
        <f aca="false">Clients!K214</f>
        <v>739124.49</v>
      </c>
      <c r="L27" s="62" t="n">
        <f aca="false">Clients!L214</f>
        <v>739191.48</v>
      </c>
      <c r="M27" s="62" t="n">
        <f aca="false">Clients!M214</f>
        <v>681621.4689</v>
      </c>
      <c r="N27" s="62" t="n">
        <f aca="false">Clients!N214</f>
        <v>676773.768889</v>
      </c>
      <c r="O27" s="62" t="n">
        <f aca="false">Clients!O214</f>
        <v>792984.905711647</v>
      </c>
      <c r="P27" s="62" t="n">
        <f aca="false">Clients!P214</f>
        <v>819249.830534956</v>
      </c>
      <c r="Q27" s="62" t="n">
        <f aca="false">Clients!Q214</f>
        <v>864476.553919096</v>
      </c>
      <c r="R27" s="62" t="n">
        <f aca="false">Clients!R214</f>
        <v>855459.099340871</v>
      </c>
      <c r="S27" s="62" t="n">
        <f aca="false">Clients!S214</f>
        <v>837168.057648736</v>
      </c>
      <c r="T27" s="62" t="n">
        <f aca="false">Clients!T214</f>
        <v>809728.951093721</v>
      </c>
      <c r="U27" s="62" t="n">
        <f aca="false">Clients!U214</f>
        <v>794679.1320429</v>
      </c>
      <c r="V27" s="62" t="n">
        <f aca="false">Clients!V214</f>
        <v>868840.242065879</v>
      </c>
      <c r="W27" s="62" t="n">
        <f aca="false">Clients!W214</f>
        <v>690920.581795302</v>
      </c>
      <c r="X27" s="62" t="n">
        <f aca="false">Clients!X214</f>
        <v>757831.458005854</v>
      </c>
      <c r="Y27" s="62" t="n">
        <f aca="false">Clients!Y214</f>
        <v>829505.736996976</v>
      </c>
      <c r="Z27" s="62" t="n">
        <f aca="false">Clients!Z214</f>
        <v>717508.91956862</v>
      </c>
      <c r="AA27" s="62" t="n">
        <f aca="false">Clients!AA214</f>
        <v>820579.51158198</v>
      </c>
      <c r="AB27" s="62" t="n">
        <f aca="false">Clients!AB214</f>
        <v>781952.907393209</v>
      </c>
    </row>
    <row r="28" customFormat="false" ht="15" hidden="false" customHeight="false" outlineLevel="0" collapsed="false">
      <c r="A28" s="29" t="s">
        <v>721</v>
      </c>
      <c r="B28" s="60" t="s">
        <v>62</v>
      </c>
      <c r="C28" s="61" t="n">
        <f aca="false">P28</f>
        <v>1205560.30341462</v>
      </c>
      <c r="D28" s="61" t="n">
        <f aca="false">AB28</f>
        <v>1085167.88968992</v>
      </c>
      <c r="E28" s="62" t="n">
        <f aca="false">Receivables!E12</f>
        <v>748972.328</v>
      </c>
      <c r="F28" s="62" t="n">
        <f aca="false">Receivables!F12</f>
        <v>729443.4038</v>
      </c>
      <c r="G28" s="62" t="n">
        <f aca="false">Receivables!G12</f>
        <v>786275.1883</v>
      </c>
      <c r="H28" s="62" t="n">
        <f aca="false">Receivables!H12</f>
        <v>947198.9338</v>
      </c>
      <c r="I28" s="62" t="n">
        <f aca="false">Receivables!I12</f>
        <v>871241.2584</v>
      </c>
      <c r="J28" s="62" t="n">
        <f aca="false">Receivables!J12</f>
        <v>1037812.152</v>
      </c>
      <c r="K28" s="62" t="n">
        <f aca="false">Receivables!K12</f>
        <v>1104402.5266</v>
      </c>
      <c r="L28" s="62" t="n">
        <f aca="false">Receivables!L12</f>
        <v>1098364.4243</v>
      </c>
      <c r="M28" s="62" t="n">
        <f aca="false">Receivables!M12</f>
        <v>1040275.143134</v>
      </c>
      <c r="N28" s="62" t="n">
        <f aca="false">Receivables!N12</f>
        <v>1188258.27819965</v>
      </c>
      <c r="O28" s="62" t="n">
        <f aca="false">Receivables!O12</f>
        <v>1157807.77744437</v>
      </c>
      <c r="P28" s="62" t="n">
        <f aca="false">Receivables!P12</f>
        <v>1205560.30341462</v>
      </c>
      <c r="Q28" s="62" t="n">
        <f aca="false">Receivables!Q12</f>
        <v>1202027.31141968</v>
      </c>
      <c r="R28" s="62" t="n">
        <f aca="false">Receivables!R12</f>
        <v>1204226.28444027</v>
      </c>
      <c r="S28" s="62" t="n">
        <f aca="false">Receivables!S12</f>
        <v>1163539.30597991</v>
      </c>
      <c r="T28" s="62" t="n">
        <f aca="false">Receivables!T12</f>
        <v>1165773.56823963</v>
      </c>
      <c r="U28" s="62" t="n">
        <f aca="false">Receivables!U12</f>
        <v>1227435.75872986</v>
      </c>
      <c r="V28" s="62" t="n">
        <f aca="false">Receivables!V12</f>
        <v>977654.615179504</v>
      </c>
      <c r="W28" s="62" t="n">
        <f aca="false">Receivables!W12</f>
        <v>1132504.42002888</v>
      </c>
      <c r="X28" s="62" t="n">
        <f aca="false">Receivables!X12</f>
        <v>1158686.26753696</v>
      </c>
      <c r="Y28" s="62" t="n">
        <f aca="false">Receivables!Y12</f>
        <v>1029487.35850514</v>
      </c>
      <c r="Z28" s="62" t="n">
        <f aca="false">Receivables!Z12</f>
        <v>1129640.93191027</v>
      </c>
      <c r="AA28" s="62" t="n">
        <f aca="false">Receivables!AA12</f>
        <v>1068085.45544238</v>
      </c>
      <c r="AB28" s="62" t="n">
        <f aca="false">Receivables!AB12</f>
        <v>1085167.88968992</v>
      </c>
    </row>
    <row r="29" customFormat="false" ht="15" hidden="false" customHeight="false" outlineLevel="0" collapsed="false">
      <c r="A29" s="29" t="s">
        <v>722</v>
      </c>
      <c r="B29" s="60" t="s">
        <v>62</v>
      </c>
      <c r="C29" s="61" t="n">
        <f aca="false">SUM(E29:P29)</f>
        <v>117509.409211073</v>
      </c>
      <c r="D29" s="61" t="n">
        <f aca="false">SUM(Q29:AB29)</f>
        <v>-601.962068623498</v>
      </c>
      <c r="E29" s="62" t="n">
        <f aca="false">Receivables!E20</f>
        <v>-1042.99836</v>
      </c>
      <c r="F29" s="62" t="n">
        <f aca="false">Receivables!F20</f>
        <v>-97.6446209999995</v>
      </c>
      <c r="G29" s="62" t="n">
        <f aca="false">Receivables!G20</f>
        <v>284.1589225</v>
      </c>
      <c r="H29" s="62" t="n">
        <f aca="false">Receivables!H20</f>
        <v>804.6187275</v>
      </c>
      <c r="I29" s="62" t="n">
        <f aca="false">Receivables!I20</f>
        <v>-379.788377</v>
      </c>
      <c r="J29" s="62" t="n">
        <f aca="false">Receivables!J20</f>
        <v>832.854468</v>
      </c>
      <c r="K29" s="62" t="n">
        <f aca="false">Receivables!K20</f>
        <v>116602.419567</v>
      </c>
      <c r="L29" s="62" t="n">
        <f aca="false">Receivables!L20</f>
        <v>-30.1905115000009</v>
      </c>
      <c r="M29" s="62" t="n">
        <f aca="false">Receivables!M20</f>
        <v>-290.446405830001</v>
      </c>
      <c r="N29" s="62" t="n">
        <f aca="false">Receivables!N20</f>
        <v>739.915675328262</v>
      </c>
      <c r="O29" s="62" t="n">
        <f aca="false">Receivables!O20</f>
        <v>-152.252503776424</v>
      </c>
      <c r="P29" s="62" t="n">
        <f aca="false">Receivables!P20</f>
        <v>238.762629851273</v>
      </c>
      <c r="Q29" s="62" t="n">
        <f aca="false">Receivables!Q20</f>
        <v>-17.6649599747016</v>
      </c>
      <c r="R29" s="62" t="n">
        <f aca="false">Receivables!R20</f>
        <v>10.9948651029345</v>
      </c>
      <c r="S29" s="62" t="n">
        <f aca="false">Receivables!S20</f>
        <v>-203.434892301798</v>
      </c>
      <c r="T29" s="62" t="n">
        <f aca="false">Receivables!T20</f>
        <v>11.1713112985854</v>
      </c>
      <c r="U29" s="62" t="n">
        <f aca="false">Receivables!U20</f>
        <v>308.310952451163</v>
      </c>
      <c r="V29" s="62" t="n">
        <f aca="false">Receivables!V20</f>
        <v>-1248.90571775177</v>
      </c>
      <c r="W29" s="62" t="n">
        <f aca="false">Receivables!W20</f>
        <v>774.249024246861</v>
      </c>
      <c r="X29" s="62" t="n">
        <f aca="false">Receivables!X20</f>
        <v>130.909237540434</v>
      </c>
      <c r="Y29" s="62" t="n">
        <f aca="false">Receivables!Y20</f>
        <v>-645.99454515911</v>
      </c>
      <c r="Z29" s="62" t="n">
        <f aca="false">Receivables!Z20</f>
        <v>500.767867025634</v>
      </c>
      <c r="AA29" s="62" t="n">
        <f aca="false">Receivables!AA20</f>
        <v>-307.777382339449</v>
      </c>
      <c r="AB29" s="62" t="n">
        <f aca="false">Receivables!AB20</f>
        <v>85.4121712377228</v>
      </c>
    </row>
    <row r="30" customFormat="false" ht="15" hidden="false" customHeight="false" outlineLevel="0" collapsed="false">
      <c r="A30" s="29" t="s">
        <v>723</v>
      </c>
      <c r="B30" s="60"/>
      <c r="C30" s="63" t="n">
        <f aca="false">IF(C23=0,0,1-C29/C23)</f>
        <v>0.983994971598265</v>
      </c>
      <c r="D30" s="63" t="n">
        <f aca="false">IF(D23=0,0,1-D29/D23)</f>
        <v>1.0000745929706</v>
      </c>
      <c r="E30" s="64" t="n">
        <f aca="false">IF(E23=0,0,1-E29/E23)</f>
        <v>1.00235242164484</v>
      </c>
      <c r="F30" s="64" t="n">
        <f aca="false">IF(F23=0,0,1-F29/F23)</f>
        <v>1.00019816669373</v>
      </c>
      <c r="G30" s="64" t="n">
        <f aca="false">IF(G23=0,0,1-G29/G23)</f>
        <v>0.999460309231486</v>
      </c>
      <c r="H30" s="64" t="n">
        <f aca="false">IF(H23=0,0,1-H29/H23)</f>
        <v>0.998800474277943</v>
      </c>
      <c r="I30" s="64" t="n">
        <f aca="false">IF(I23=0,0,1-I29/I23)</f>
        <v>1.00070583776735</v>
      </c>
      <c r="J30" s="64" t="n">
        <f aca="false">IF(J23=0,0,1-J29/J23)</f>
        <v>0.99880422992368</v>
      </c>
      <c r="K30" s="64" t="n">
        <f aca="false">IF(K23=0,0,1-K29/K23)</f>
        <v>0.835201082213167</v>
      </c>
      <c r="L30" s="64" t="n">
        <f aca="false">IF(L23=0,0,1-L29/L23)</f>
        <v>1.00004804834709</v>
      </c>
      <c r="M30" s="64" t="n">
        <f aca="false">IF(M23=0,0,1-M29/M23)</f>
        <v>1.00053308733236</v>
      </c>
      <c r="N30" s="64" t="n">
        <f aca="false">IF(N23=0,0,1-N29/N23)</f>
        <v>0.99894960895534</v>
      </c>
      <c r="O30" s="64" t="n">
        <f aca="false">IF(O23=0,0,1-O29/O23)</f>
        <v>1.00023056772268</v>
      </c>
      <c r="P30" s="64" t="n">
        <f aca="false">IF(P23=0,0,1-P29/P23)</f>
        <v>0.999672287477201</v>
      </c>
      <c r="Q30" s="64" t="n">
        <f aca="false">IF(Q23=0,0,1-Q29/Q23)</f>
        <v>1.0000242005857</v>
      </c>
      <c r="R30" s="64" t="n">
        <f aca="false">IF(R23=0,0,1-R29/R23)</f>
        <v>0.999984985093609</v>
      </c>
      <c r="S30" s="64" t="n">
        <f aca="false">IF(S23=0,0,1-S29/S23)</f>
        <v>1.00029863546874</v>
      </c>
      <c r="T30" s="64" t="n">
        <f aca="false">IF(T23=0,0,1-T29/T23)</f>
        <v>0.999983928266723</v>
      </c>
      <c r="U30" s="64" t="n">
        <f aca="false">IF(U23=0,0,1-U29/U23)</f>
        <v>0.999579361989554</v>
      </c>
      <c r="V30" s="64" t="n">
        <f aca="false">IF(V23=0,0,1-V29/V23)</f>
        <v>1.00235469614729</v>
      </c>
      <c r="W30" s="64" t="n">
        <f aca="false">IF(W23=0,0,1-W29/W23)</f>
        <v>0.998921144543939</v>
      </c>
      <c r="X30" s="64" t="n">
        <f aca="false">IF(X23=0,0,1-X29/X23)</f>
        <v>0.999803304762126</v>
      </c>
      <c r="Y30" s="64" t="n">
        <f aca="false">IF(Y23=0,0,1-Y29/Y23)</f>
        <v>1.00109770957249</v>
      </c>
      <c r="Z30" s="64" t="n">
        <f aca="false">IF(Z23=0,0,1-Z29/Z23)</f>
        <v>0.999271198364996</v>
      </c>
      <c r="AA30" s="64" t="n">
        <f aca="false">IF(AA23=0,0,1-AA29/AA23)</f>
        <v>1.00048253423876</v>
      </c>
      <c r="AB30" s="64" t="n">
        <f aca="false">IF(AB23=0,0,1-AB29/AB23)</f>
        <v>0.999872796009793</v>
      </c>
    </row>
    <row r="31" customFormat="false" ht="15" hidden="false" customHeight="false" outlineLevel="0" collapsed="false">
      <c r="A31" s="68" t="s">
        <v>724</v>
      </c>
      <c r="B31" s="69"/>
      <c r="C31" s="75" t="n">
        <f aca="false">C20*C30</f>
        <v>0.876020393007211</v>
      </c>
      <c r="D31" s="75" t="n">
        <f aca="false">D20*D30</f>
        <v>0.884129384641454</v>
      </c>
      <c r="E31" s="75" t="n">
        <f aca="false">E20*E30</f>
        <v>0.902895821558391</v>
      </c>
      <c r="F31" s="75" t="n">
        <f aca="false">F20*F30</f>
        <v>0.889908259167298</v>
      </c>
      <c r="G31" s="75" t="n">
        <f aca="false">G20*G30</f>
        <v>0.867276182888388</v>
      </c>
      <c r="H31" s="75" t="n">
        <f aca="false">H20*H30</f>
        <v>0.865341180900285</v>
      </c>
      <c r="I31" s="75" t="n">
        <f aca="false">I20*I30</f>
        <v>0.886877624093537</v>
      </c>
      <c r="J31" s="75" t="n">
        <f aca="false">J20*J30</f>
        <v>0.892853129752916</v>
      </c>
      <c r="K31" s="75" t="n">
        <f aca="false">K20*K30</f>
        <v>0.73495576781182</v>
      </c>
      <c r="L31" s="75" t="n">
        <f aca="false">L20*L30</f>
        <v>0.9054402533632</v>
      </c>
      <c r="M31" s="75" t="n">
        <f aca="false">M20*M30</f>
        <v>0.881381773583175</v>
      </c>
      <c r="N31" s="75" t="n">
        <f aca="false">N20*N30</f>
        <v>0.907166705133761</v>
      </c>
      <c r="O31" s="75" t="n">
        <f aca="false">O20*O30</f>
        <v>0.902604844446372</v>
      </c>
      <c r="P31" s="75" t="n">
        <f aca="false">P20*P30</f>
        <v>0.902740110542347</v>
      </c>
      <c r="Q31" s="75" t="n">
        <f aca="false">Q20*Q30</f>
        <v>0.888430564733214</v>
      </c>
      <c r="R31" s="75" t="n">
        <f aca="false">R20*R30</f>
        <v>0.88829529971862</v>
      </c>
      <c r="S31" s="75" t="n">
        <f aca="false">S20*S30</f>
        <v>0.887463019997908</v>
      </c>
      <c r="T31" s="75" t="n">
        <f aca="false">T20*T30</f>
        <v>0.88598768685568</v>
      </c>
      <c r="U31" s="75" t="n">
        <f aca="false">U20*U30</f>
        <v>0.884467945301808</v>
      </c>
      <c r="V31" s="75" t="n">
        <f aca="false">V20*V30</f>
        <v>0.884475487778134</v>
      </c>
      <c r="W31" s="75" t="n">
        <f aca="false">W20*W30</f>
        <v>0.880849241493734</v>
      </c>
      <c r="X31" s="75" t="n">
        <f aca="false">X20*X30</f>
        <v>0.879489771898346</v>
      </c>
      <c r="Y31" s="75" t="n">
        <f aca="false">Y20*Y30</f>
        <v>0.880768171226253</v>
      </c>
      <c r="Z31" s="75" t="n">
        <f aca="false">Z20*Z30</f>
        <v>0.882598232932069</v>
      </c>
      <c r="AA31" s="75" t="n">
        <f aca="false">AA20*AA30</f>
        <v>0.883626174239672</v>
      </c>
      <c r="AB31" s="75" t="n">
        <f aca="false">AB20*AB30</f>
        <v>0.883087653435849</v>
      </c>
    </row>
    <row r="32" customFormat="false" ht="15" hidden="false" customHeight="false" outlineLevel="0" collapsed="false">
      <c r="A32" s="23" t="s">
        <v>725</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row>
    <row r="33" customFormat="false" ht="15" hidden="false" customHeight="false" outlineLevel="0" collapsed="false">
      <c r="A33" s="29" t="s">
        <v>726</v>
      </c>
      <c r="B33" s="60"/>
      <c r="C33" s="66" t="n">
        <f aca="false">P33</f>
        <v>29.4248645798338</v>
      </c>
      <c r="D33" s="66" t="n">
        <f aca="false">AB33</f>
        <v>34.727941426001</v>
      </c>
      <c r="E33" s="67" t="n">
        <f aca="false">IFERROR(E24/SUM(E16:E16)*SUM(Assumptions!E$191:E$191),0)</f>
        <v>28.1910813894426</v>
      </c>
      <c r="F33" s="67" t="n">
        <f aca="false">IFERROR(F24/SUM(E16:F16)*SUM(Assumptions!E$191:F$191),0)</f>
        <v>27.1926965645088</v>
      </c>
      <c r="G33" s="67" t="n">
        <f aca="false">IFERROR(G24/SUM(E16:G16)*SUM(Assumptions!E$191:G$191),0)</f>
        <v>31.902829714039</v>
      </c>
      <c r="H33" s="67" t="n">
        <f aca="false">IFERROR(H24/SUM(F16:H16)*SUM(Assumptions!F$191:H$191),0)</f>
        <v>25.1987141562401</v>
      </c>
      <c r="I33" s="67" t="n">
        <f aca="false">IFERROR(I24/SUM(G16:I16)*SUM(Assumptions!G$191:I$191),0)</f>
        <v>26.5199708680425</v>
      </c>
      <c r="J33" s="67" t="n">
        <f aca="false">IFERROR(J24/SUM(H16:J16)*SUM(Assumptions!H$191:J$191),0)</f>
        <v>28.9383060086412</v>
      </c>
      <c r="K33" s="67" t="n">
        <f aca="false">IFERROR(K24/SUM(I16:K16)*SUM(Assumptions!I$191:K$191),0)</f>
        <v>23.3347583151571</v>
      </c>
      <c r="L33" s="67" t="n">
        <f aca="false">IFERROR(L24/SUM(J16:L16)*SUM(Assumptions!J$191:L$191),0)</f>
        <v>19.4450857053074</v>
      </c>
      <c r="M33" s="67" t="n">
        <f aca="false">IFERROR(M24/SUM(K16:M16)*SUM(Assumptions!K$191:M$191),0)</f>
        <v>29.7232909805743</v>
      </c>
      <c r="N33" s="67" t="n">
        <f aca="false">IFERROR(N24/SUM(L16:N16)*SUM(Assumptions!L$191:N$191),0)</f>
        <v>28.2401081468479</v>
      </c>
      <c r="O33" s="67" t="n">
        <f aca="false">IFERROR(O24/SUM(M16:O16)*SUM(Assumptions!M$191:O$191),0)</f>
        <v>27.4760142002456</v>
      </c>
      <c r="P33" s="67" t="n">
        <f aca="false">IFERROR(P24/SUM(N16:P16)*SUM(Assumptions!N$191:P$191),0)</f>
        <v>29.4248645798338</v>
      </c>
      <c r="Q33" s="67" t="n">
        <f aca="false">IFERROR(Q24/SUM(O16:Q16)*SUM(Assumptions!O$191:Q$191),0)</f>
        <v>28.665724183706</v>
      </c>
      <c r="R33" s="67" t="n">
        <f aca="false">IFERROR(R24/SUM(P16:R16)*SUM(Assumptions!P$191:R$191),0)</f>
        <v>27.8573188450347</v>
      </c>
      <c r="S33" s="67" t="n">
        <f aca="false">IFERROR(S24/SUM(Q16:S16)*SUM(Assumptions!Q$191:S$191),0)</f>
        <v>29.2602718732414</v>
      </c>
      <c r="T33" s="67" t="n">
        <f aca="false">IFERROR(T24/SUM(R16:T16)*SUM(Assumptions!R$191:T$191),0)</f>
        <v>29.7681880299882</v>
      </c>
      <c r="U33" s="67" t="n">
        <f aca="false">IFERROR(U24/SUM(S16:U16)*SUM(Assumptions!S$191:U$191),0)</f>
        <v>24.306930990763</v>
      </c>
      <c r="V33" s="67" t="n">
        <f aca="false">IFERROR(V24/SUM(T16:V16)*SUM(Assumptions!T$191:V$191),0)</f>
        <v>32.8327686670571</v>
      </c>
      <c r="W33" s="67" t="n">
        <f aca="false">IFERROR(W24/SUM(U16:W16)*SUM(Assumptions!U$191:W$191),0)</f>
        <v>31.9514004255798</v>
      </c>
      <c r="X33" s="67" t="n">
        <f aca="false">IFERROR(X24/SUM(V16:X16)*SUM(Assumptions!V$191:X$191),0)</f>
        <v>27.1780606118039</v>
      </c>
      <c r="Y33" s="67" t="n">
        <f aca="false">IFERROR(Y24/SUM(W16:Y16)*SUM(Assumptions!W$191:Y$191),0)</f>
        <v>33.5237184168437</v>
      </c>
      <c r="Z33" s="67" t="n">
        <f aca="false">IFERROR(Z24/SUM(X16:Z16)*SUM(Assumptions!X$191:Z$191),0)</f>
        <v>32.0424813568224</v>
      </c>
      <c r="AA33" s="67" t="n">
        <f aca="false">IFERROR(AA24/SUM(Y16:AA16)*SUM(Assumptions!Y$191:AA$191),0)</f>
        <v>31.915749391453</v>
      </c>
      <c r="AB33" s="67" t="n">
        <f aca="false">IFERROR(AB24/SUM(Z16:AB16)*SUM(Assumptions!Z$191:AB$191),0)</f>
        <v>34.727941426001</v>
      </c>
    </row>
    <row r="34" customFormat="false" ht="15" hidden="false" customHeight="false" outlineLevel="0" collapsed="false">
      <c r="A34" s="29" t="s">
        <v>335</v>
      </c>
      <c r="B34" s="60" t="s">
        <v>62</v>
      </c>
      <c r="C34" s="66" t="n">
        <f aca="false">P34</f>
        <v>45.1908218959346</v>
      </c>
      <c r="D34" s="66" t="n">
        <f aca="false">AB34</f>
        <v>42.0232044514868</v>
      </c>
      <c r="E34" s="67" t="n">
        <f aca="false">Receivables!E25</f>
        <v>44.0060153493058</v>
      </c>
      <c r="F34" s="67" t="n">
        <f aca="false">Receivables!F25</f>
        <v>38.6339247784405</v>
      </c>
      <c r="G34" s="67" t="n">
        <f aca="false">Receivables!G25</f>
        <v>40.9336847866524</v>
      </c>
      <c r="H34" s="67" t="n">
        <f aca="false">Receivables!H25</f>
        <v>42.4442136710368</v>
      </c>
      <c r="I34" s="67" t="n">
        <f aca="false">Receivables!I25</f>
        <v>39.5115628694387</v>
      </c>
      <c r="J34" s="67" t="n">
        <f aca="false">Receivables!J25</f>
        <v>42.4968811506655</v>
      </c>
      <c r="K34" s="67" t="n">
        <f aca="false">Receivables!K25</f>
        <v>44.8311432676395</v>
      </c>
      <c r="L34" s="67" t="n">
        <f aca="false">Receivables!L25</f>
        <v>42.6240951650454</v>
      </c>
      <c r="M34" s="67" t="n">
        <f aca="false">Receivables!M25</f>
        <v>43.7854810459009</v>
      </c>
      <c r="N34" s="67" t="n">
        <f aca="false">Receivables!N25</f>
        <v>50.113520355641</v>
      </c>
      <c r="O34" s="67" t="n">
        <f aca="false">Receivables!O25</f>
        <v>47.6566799237139</v>
      </c>
      <c r="P34" s="67" t="n">
        <f aca="false">Receivables!P25</f>
        <v>45.1908218959346</v>
      </c>
      <c r="Q34" s="67" t="n">
        <f aca="false">Receivables!Q25</f>
        <v>44.4036885624826</v>
      </c>
      <c r="R34" s="67" t="n">
        <f aca="false">Receivables!R25</f>
        <v>41.9168465030391</v>
      </c>
      <c r="S34" s="67" t="n">
        <f aca="false">Receivables!S25</f>
        <v>41.6362201438489</v>
      </c>
      <c r="T34" s="67" t="n">
        <f aca="false">Receivables!T25</f>
        <v>42.071995489691</v>
      </c>
      <c r="U34" s="67" t="n">
        <f aca="false">Receivables!U25</f>
        <v>45.8149743784972</v>
      </c>
      <c r="V34" s="67" t="n">
        <f aca="false">Receivables!V25</f>
        <v>38.8948082601612</v>
      </c>
      <c r="W34" s="67" t="n">
        <f aca="false">Receivables!W25</f>
        <v>44.8870054273154</v>
      </c>
      <c r="X34" s="67" t="n">
        <f aca="false">Receivables!X25</f>
        <v>47.4017735056728</v>
      </c>
      <c r="Y34" s="67" t="n">
        <f aca="false">Receivables!Y25</f>
        <v>40.6477071017147</v>
      </c>
      <c r="Z34" s="67" t="n">
        <f aca="false">Receivables!Z25</f>
        <v>45.1467202842826</v>
      </c>
      <c r="AA34" s="67" t="n">
        <f aca="false">Receivables!AA25</f>
        <v>42.6860167100964</v>
      </c>
      <c r="AB34" s="67" t="n">
        <f aca="false">Receivables!AB25</f>
        <v>42.0232044514868</v>
      </c>
    </row>
    <row r="35" customFormat="false" ht="15" hidden="false" customHeight="false" outlineLevel="0" collapsed="false">
      <c r="A35" s="68" t="s">
        <v>727</v>
      </c>
      <c r="B35" s="69"/>
      <c r="C35" s="113" t="n">
        <f aca="false">P35</f>
        <v>74.6156864757685</v>
      </c>
      <c r="D35" s="113" t="n">
        <f aca="false">AB35</f>
        <v>76.7511458774878</v>
      </c>
      <c r="E35" s="113" t="n">
        <f aca="false">E33+E34</f>
        <v>72.1970967387484</v>
      </c>
      <c r="F35" s="113" t="n">
        <f aca="false">F33+F34</f>
        <v>65.8266213429493</v>
      </c>
      <c r="G35" s="113" t="n">
        <f aca="false">G33+G34</f>
        <v>72.8365145006914</v>
      </c>
      <c r="H35" s="113" t="n">
        <f aca="false">H33+H34</f>
        <v>67.6429278272769</v>
      </c>
      <c r="I35" s="113" t="n">
        <f aca="false">I33+I34</f>
        <v>66.0315337374812</v>
      </c>
      <c r="J35" s="113" t="n">
        <f aca="false">J33+J34</f>
        <v>71.4351871593067</v>
      </c>
      <c r="K35" s="113" t="n">
        <f aca="false">K33+K34</f>
        <v>68.1659015827966</v>
      </c>
      <c r="L35" s="113" t="n">
        <f aca="false">L33+L34</f>
        <v>62.0691808703528</v>
      </c>
      <c r="M35" s="113" t="n">
        <f aca="false">M33+M34</f>
        <v>73.5087720264751</v>
      </c>
      <c r="N35" s="113" t="n">
        <f aca="false">N33+N34</f>
        <v>78.3536285024889</v>
      </c>
      <c r="O35" s="113" t="n">
        <f aca="false">O33+O34</f>
        <v>75.1326941239595</v>
      </c>
      <c r="P35" s="113" t="n">
        <f aca="false">P33+P34</f>
        <v>74.6156864757685</v>
      </c>
      <c r="Q35" s="113" t="n">
        <f aca="false">Q33+Q34</f>
        <v>73.0694127461885</v>
      </c>
      <c r="R35" s="113" t="n">
        <f aca="false">R33+R34</f>
        <v>69.7741653480738</v>
      </c>
      <c r="S35" s="113" t="n">
        <f aca="false">S33+S34</f>
        <v>70.8964920170902</v>
      </c>
      <c r="T35" s="113" t="n">
        <f aca="false">T33+T34</f>
        <v>71.8401835196792</v>
      </c>
      <c r="U35" s="113" t="n">
        <f aca="false">U33+U34</f>
        <v>70.1219053692602</v>
      </c>
      <c r="V35" s="113" t="n">
        <f aca="false">V33+V34</f>
        <v>71.7275769272183</v>
      </c>
      <c r="W35" s="113" t="n">
        <f aca="false">W33+W34</f>
        <v>76.8384058528952</v>
      </c>
      <c r="X35" s="113" t="n">
        <f aca="false">X33+X34</f>
        <v>74.5798341174766</v>
      </c>
      <c r="Y35" s="113" t="n">
        <f aca="false">Y33+Y34</f>
        <v>74.1714255185584</v>
      </c>
      <c r="Z35" s="113" t="n">
        <f aca="false">Z33+Z34</f>
        <v>77.189201641105</v>
      </c>
      <c r="AA35" s="113" t="n">
        <f aca="false">AA33+AA34</f>
        <v>74.6017661015494</v>
      </c>
      <c r="AB35" s="113" t="n">
        <f aca="false">AB33+AB34</f>
        <v>76.7511458774878</v>
      </c>
    </row>
    <row r="36" customFormat="false" ht="15" hidden="false" customHeight="false" outlineLevel="0" collapsed="false">
      <c r="A36" s="29" t="s">
        <v>728</v>
      </c>
      <c r="B36" s="60"/>
      <c r="C36" s="61" t="n">
        <f aca="false">P36</f>
        <v>1863033.74762325</v>
      </c>
      <c r="D36" s="61" t="n">
        <f aca="false">AB36</f>
        <v>1811601.86211027</v>
      </c>
      <c r="E36" s="71" t="n">
        <f aca="false">E28+E24-E25</f>
        <v>1120903.038</v>
      </c>
      <c r="F36" s="71" t="n">
        <f aca="false">F28+F24-F25</f>
        <v>1133974.7038</v>
      </c>
      <c r="G36" s="71" t="n">
        <f aca="false">G28+G24-G25</f>
        <v>1323363.5583</v>
      </c>
      <c r="H36" s="71" t="n">
        <f aca="false">H28+H24-H25</f>
        <v>1382163.0238</v>
      </c>
      <c r="I36" s="71" t="n">
        <f aca="false">I28+I24-I25</f>
        <v>1357525.5084</v>
      </c>
      <c r="J36" s="71" t="n">
        <f aca="false">J28+J24-J25</f>
        <v>1572104.432</v>
      </c>
      <c r="K36" s="71" t="n">
        <f aca="false">K28+K24-K25</f>
        <v>1558050.2466</v>
      </c>
      <c r="L36" s="71" t="n">
        <f aca="false">L28+L24-L25</f>
        <v>1434577.6543</v>
      </c>
      <c r="M36" s="71" t="n">
        <f aca="false">M28+M24-M25</f>
        <v>1610860.2822374</v>
      </c>
      <c r="N36" s="71" t="n">
        <f aca="false">N28+N24-N25</f>
        <v>1761942.03181987</v>
      </c>
      <c r="O36" s="71" t="n">
        <f aca="false">O28+O24-O25</f>
        <v>1780515.3101487</v>
      </c>
      <c r="P36" s="71" t="n">
        <f aca="false">P28+P24-P25</f>
        <v>1863033.74762325</v>
      </c>
      <c r="Q36" s="71" t="n">
        <f aca="false">Q28+Q24-Q25</f>
        <v>1827850.67058421</v>
      </c>
      <c r="R36" s="71" t="n">
        <f aca="false">R28+R24-R25</f>
        <v>1822156.38867866</v>
      </c>
      <c r="S36" s="71" t="n">
        <f aca="false">S28+S24-S25</f>
        <v>1818270.09727</v>
      </c>
      <c r="T36" s="71" t="n">
        <f aca="false">T28+T24-T25</f>
        <v>1842584.36459666</v>
      </c>
      <c r="U36" s="71" t="n">
        <f aca="false">U28+U24-U25</f>
        <v>1710679.4561472</v>
      </c>
      <c r="V36" s="71" t="n">
        <f aca="false">V28+V24-V25</f>
        <v>1646510.97273691</v>
      </c>
      <c r="W36" s="71" t="n">
        <f aca="false">W28+W24-W25</f>
        <v>1764483.55997619</v>
      </c>
      <c r="X36" s="71" t="n">
        <f aca="false">X28+X24-X25</f>
        <v>1708802.59833511</v>
      </c>
      <c r="Y36" s="71" t="n">
        <f aca="false">Y28+Y24-Y25</f>
        <v>1708250.80814167</v>
      </c>
      <c r="Z36" s="71" t="n">
        <f aca="false">Z28+Z24-Z25</f>
        <v>1767476.25553555</v>
      </c>
      <c r="AA36" s="71" t="n">
        <f aca="false">AA28+AA24-AA25</f>
        <v>1739543.72572873</v>
      </c>
      <c r="AB36" s="71" t="n">
        <f aca="false">AB28+AB24-AB25</f>
        <v>1811601.86211027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3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4" min="2" style="0" width="6"/>
    <col collapsed="false" customWidth="true" hidden="false" outlineLevel="0" max="5" min="5" style="0" width="10"/>
    <col collapsed="false" customWidth="true" hidden="false" outlineLevel="0" max="22" min="6" style="0" width="12"/>
    <col collapsed="false" customWidth="true" hidden="false" outlineLevel="0" max="23" min="23" style="0" width="14"/>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729</v>
      </c>
    </row>
    <row r="3" customFormat="false" ht="15" hidden="false" customHeight="false" outlineLevel="0" collapsed="false">
      <c r="A3" s="26" t="s">
        <v>730</v>
      </c>
    </row>
    <row r="5" customFormat="false" ht="66" hidden="false" customHeight="true" outlineLevel="0" collapsed="false">
      <c r="A5" s="27" t="s">
        <v>731</v>
      </c>
      <c r="B5" s="28" t="s">
        <v>732</v>
      </c>
      <c r="C5" s="28" t="s">
        <v>508</v>
      </c>
      <c r="D5" s="28" t="s">
        <v>733</v>
      </c>
      <c r="E5" s="28" t="s">
        <v>152</v>
      </c>
      <c r="F5" s="28" t="s">
        <v>734</v>
      </c>
      <c r="G5" s="28" t="s">
        <v>735</v>
      </c>
      <c r="H5" s="28" t="s">
        <v>736</v>
      </c>
      <c r="I5" s="28" t="s">
        <v>737</v>
      </c>
      <c r="J5" s="28" t="s">
        <v>738</v>
      </c>
      <c r="K5" s="28" t="s">
        <v>739</v>
      </c>
      <c r="L5" s="28" t="s">
        <v>740</v>
      </c>
      <c r="M5" s="28" t="s">
        <v>741</v>
      </c>
      <c r="N5" s="28" t="s">
        <v>742</v>
      </c>
      <c r="O5" s="28" t="s">
        <v>743</v>
      </c>
      <c r="P5" s="28" t="s">
        <v>744</v>
      </c>
      <c r="Q5" s="28" t="s">
        <v>745</v>
      </c>
      <c r="R5" s="28" t="s">
        <v>746</v>
      </c>
      <c r="S5" s="28" t="s">
        <v>747</v>
      </c>
      <c r="T5" s="28" t="s">
        <v>748</v>
      </c>
      <c r="U5" s="28" t="s">
        <v>749</v>
      </c>
      <c r="V5" s="28" t="s">
        <v>750</v>
      </c>
      <c r="W5" s="28" t="s">
        <v>751</v>
      </c>
    </row>
    <row r="6" customFormat="false" ht="15" hidden="false" customHeight="false" outlineLevel="0" collapsed="false">
      <c r="A6" s="29" t="s">
        <v>752</v>
      </c>
      <c r="B6" s="29" t="s">
        <v>753</v>
      </c>
      <c r="C6" s="29" t="s">
        <v>754</v>
      </c>
      <c r="D6" s="29" t="s">
        <v>755</v>
      </c>
      <c r="E6" s="18" t="str">
        <f aca="false">Engagement_Register!$F$7</f>
        <v>In progress</v>
      </c>
      <c r="F6" s="62" t="n">
        <f aca="false">Engagement_Register!$J$7</f>
        <v>2790000</v>
      </c>
      <c r="G6" s="67" t="n">
        <f aca="false">Engagement_Register!$K$7</f>
        <v>15296</v>
      </c>
      <c r="H6" s="67" t="n">
        <f aca="false">Engagement_Register!$AJ$7</f>
        <v>10378.1</v>
      </c>
      <c r="I6" s="67" t="n">
        <f aca="false">Engagement_Register!$AK$7</f>
        <v>4984</v>
      </c>
      <c r="J6" s="67" t="n">
        <f aca="false">Engagement_Register!$AM$7</f>
        <v>15362.1</v>
      </c>
      <c r="K6" s="114" t="n">
        <f aca="false">J6-G6</f>
        <v>66.0999999999985</v>
      </c>
      <c r="L6" s="115" t="n">
        <f aca="false">IF(G6=0,0,K6/G6)</f>
        <v>0.00432139121338903</v>
      </c>
      <c r="M6" s="62" t="n">
        <f aca="false">H6*Engagement_Register!$AD$7</f>
        <v>2121283.64</v>
      </c>
      <c r="N6" s="62" t="n">
        <f aca="false">Engagement_Register!$AT$7</f>
        <v>1898169.92</v>
      </c>
      <c r="O6" s="115" t="n">
        <f aca="false">IF(M6=0,0,N6/M6)</f>
        <v>0.89482136391718</v>
      </c>
      <c r="P6" s="62" t="n">
        <f aca="false">Engagement_Register!$AT$7+SUMIFS(Engagements!$E$47:$AB$47,Assumptions!$E$188:$AB$188,"F")</f>
        <v>2815994.09653891</v>
      </c>
      <c r="Q6" s="62" t="n">
        <f aca="false">M6+SUMIFS(Engagements!$E$45:$AB$45,Assumptions!$E$188:$AB$188,"F")</f>
        <v>3156430.648</v>
      </c>
      <c r="R6" s="115" t="n">
        <f aca="false">IF(Q6=0,0,P6/Q6)</f>
        <v>0.892145087465553</v>
      </c>
      <c r="S6" s="62" t="n">
        <f aca="false">N6-H6*(Engagement_Register!$Y$7*Assumptions!$C$86+Engagement_Register!$Z$7*Assumptions!$C$87+Engagement_Register!$AA$7*Assumptions!$C$88+Engagement_Register!$AB$7*Assumptions!$C$89+Engagement_Register!$AC$7*Assumptions!$C$90)</f>
        <v>862484.206979724</v>
      </c>
      <c r="T6" s="115" t="n">
        <f aca="false">IF(N6=0,0,S6/N6)</f>
        <v>0.454376711954072</v>
      </c>
      <c r="U6" s="62" t="n">
        <f aca="false">Engagement_Register!$AU$7</f>
        <v>1792589.08</v>
      </c>
      <c r="V6" s="62" t="n">
        <f aca="false">INDEX(Engagements!$E$53:$AB$53,Assumptions!$C$10)</f>
        <v>112612.96</v>
      </c>
      <c r="W6" s="18" t="str">
        <f aca="false">IF(OR(E6="Completed",E6="Stopped"),E6,IF(AND(D6="CAP",Engagement_Register!$AQ$7&gt;Engagement_Register!$AP$7),"Forecast above the cap",IF(K6&gt;0.05*G6,"Forecast over budget","On budget")))</f>
        <v>On budget</v>
      </c>
    </row>
    <row r="7" customFormat="false" ht="15" hidden="false" customHeight="false" outlineLevel="0" collapsed="false">
      <c r="A7" s="29" t="s">
        <v>756</v>
      </c>
      <c r="B7" s="29" t="s">
        <v>757</v>
      </c>
      <c r="C7" s="29" t="s">
        <v>758</v>
      </c>
      <c r="D7" s="29" t="s">
        <v>759</v>
      </c>
      <c r="E7" s="18" t="str">
        <f aca="false">Engagement_Register!$F$8</f>
        <v>In progress</v>
      </c>
      <c r="F7" s="62" t="n">
        <f aca="false">Engagement_Register!$J$8</f>
        <v>560000</v>
      </c>
      <c r="G7" s="67" t="n">
        <f aca="false">Engagement_Register!$K$8</f>
        <v>3040</v>
      </c>
      <c r="H7" s="67" t="n">
        <f aca="false">Engagement_Register!$AJ$8</f>
        <v>3271</v>
      </c>
      <c r="I7" s="67" t="n">
        <f aca="false">Engagement_Register!$AK$8</f>
        <v>369</v>
      </c>
      <c r="J7" s="67" t="n">
        <f aca="false">Engagement_Register!$AM$8</f>
        <v>3658.45</v>
      </c>
      <c r="K7" s="114" t="n">
        <f aca="false">J7-G7</f>
        <v>618.45</v>
      </c>
      <c r="L7" s="115" t="n">
        <f aca="false">IF(G7=0,0,K7/G7)</f>
        <v>0.2034375</v>
      </c>
      <c r="M7" s="62" t="n">
        <f aca="false">H7*Engagement_Register!$AD$8</f>
        <v>643405.7</v>
      </c>
      <c r="N7" s="62" t="n">
        <f aca="false">Engagement_Register!$AT$8</f>
        <v>503230.77</v>
      </c>
      <c r="O7" s="115" t="n">
        <f aca="false">IF(M7=0,0,N7/M7)</f>
        <v>0.7821360146483</v>
      </c>
      <c r="P7" s="62" t="n">
        <f aca="false">Engagement_Register!$AT$8+SUMIFS(Engagements!$E$64:$AB$64,Assumptions!$E$188:$AB$188,"F")</f>
        <v>560000</v>
      </c>
      <c r="Q7" s="62" t="n">
        <f aca="false">M7+SUMIFS(Engagements!$E$60:$AB$60,Assumptions!$E$188:$AB$188,"F")</f>
        <v>719617.115</v>
      </c>
      <c r="R7" s="115" t="n">
        <f aca="false">IF(Q7=0,0,P7/Q7)</f>
        <v>0.778191608185972</v>
      </c>
      <c r="S7" s="62" t="n">
        <f aca="false">N7-H7*(Engagement_Register!$Y$8*Assumptions!$C$86+Engagement_Register!$Z$8*Assumptions!$C$87+Engagement_Register!$AA$8*Assumptions!$C$88+Engagement_Register!$AB$8*Assumptions!$C$89+Engagement_Register!$AC$8*Assumptions!$C$90)</f>
        <v>178241.036489821</v>
      </c>
      <c r="T7" s="115" t="n">
        <f aca="false">IF(N7=0,0,S7/N7)</f>
        <v>0.354193437912832</v>
      </c>
      <c r="U7" s="62" t="n">
        <f aca="false">Engagement_Register!$AU$8</f>
        <v>537698.34</v>
      </c>
      <c r="V7" s="62" t="n">
        <f aca="false">INDEX(Engagements!$E$70:$AB$70,Assumptions!$C$10)</f>
        <v>-29778.09</v>
      </c>
      <c r="W7" s="18" t="str">
        <f aca="false">IF(OR(E7="Completed",E7="Stopped"),E7,IF(AND(D7="CAP",Engagement_Register!$AQ$8&gt;Engagement_Register!$AP$8),"Forecast above the cap",IF(K7&gt;0.05*G7,"Forecast over budget","On budget")))</f>
        <v>Forecast above the cap</v>
      </c>
    </row>
    <row r="8" customFormat="false" ht="15" hidden="false" customHeight="false" outlineLevel="0" collapsed="false">
      <c r="A8" s="29" t="s">
        <v>760</v>
      </c>
      <c r="B8" s="29" t="s">
        <v>761</v>
      </c>
      <c r="C8" s="29" t="s">
        <v>762</v>
      </c>
      <c r="D8" s="29" t="s">
        <v>755</v>
      </c>
      <c r="E8" s="18" t="str">
        <f aca="false">Engagement_Register!$F$9</f>
        <v>Completed</v>
      </c>
      <c r="F8" s="62" t="n">
        <f aca="false">Engagement_Register!$J$9</f>
        <v>949000</v>
      </c>
      <c r="G8" s="67" t="n">
        <f aca="false">Engagement_Register!$K$9</f>
        <v>5149</v>
      </c>
      <c r="H8" s="67" t="n">
        <f aca="false">Engagement_Register!$AJ$9</f>
        <v>5053.1</v>
      </c>
      <c r="I8" s="67" t="n">
        <f aca="false">Engagement_Register!$AK$9</f>
        <v>0</v>
      </c>
      <c r="J8" s="67" t="n">
        <f aca="false">Engagement_Register!$AM$9</f>
        <v>5053.1</v>
      </c>
      <c r="K8" s="114" t="n">
        <f aca="false">J8-G8</f>
        <v>-95.8999999999996</v>
      </c>
      <c r="L8" s="115" t="n">
        <f aca="false">IF(G8=0,0,K8/G8)</f>
        <v>-0.0186249757234414</v>
      </c>
      <c r="M8" s="62" t="n">
        <f aca="false">H8*Engagement_Register!$AD$9</f>
        <v>1032853.64</v>
      </c>
      <c r="N8" s="62" t="n">
        <f aca="false">Engagement_Register!$AT$9</f>
        <v>929458.53</v>
      </c>
      <c r="O8" s="115" t="n">
        <f aca="false">IF(M8=0,0,N8/M8)</f>
        <v>0.899893744867859</v>
      </c>
      <c r="P8" s="62" t="n">
        <f aca="false">Engagement_Register!$AT$9+SUMIFS(Engagements!$E$78:$AB$78,Assumptions!$E$188:$AB$188,"F")</f>
        <v>929458.53</v>
      </c>
      <c r="Q8" s="62" t="n">
        <f aca="false">M8+SUMIFS(Engagements!$E$76:$AB$76,Assumptions!$E$188:$AB$188,"F")</f>
        <v>1032853.64</v>
      </c>
      <c r="R8" s="115" t="n">
        <f aca="false">IF(Q8=0,0,P8/Q8)</f>
        <v>0.899893744867859</v>
      </c>
      <c r="S8" s="62" t="n">
        <f aca="false">N8-H8*(Engagement_Register!$Y$9*Assumptions!$C$86+Engagement_Register!$Z$9*Assumptions!$C$87+Engagement_Register!$AA$9*Assumptions!$C$88+Engagement_Register!$AB$9*Assumptions!$C$89+Engagement_Register!$AC$9*Assumptions!$C$90)</f>
        <v>425182.845967012</v>
      </c>
      <c r="T8" s="115" t="n">
        <f aca="false">IF(N8=0,0,S8/N8)</f>
        <v>0.457452196352441</v>
      </c>
      <c r="U8" s="62" t="n">
        <f aca="false">Engagement_Register!$AU$9</f>
        <v>929458.53</v>
      </c>
      <c r="V8" s="62" t="n">
        <f aca="false">INDEX(Engagements!$E$84:$AB$84,Assumptions!$C$10)</f>
        <v>0</v>
      </c>
      <c r="W8" s="18" t="str">
        <f aca="false">IF(OR(E8="Completed",E8="Stopped"),E8,IF(AND(D8="CAP",Engagement_Register!$AQ$9&gt;Engagement_Register!$AP$9),"Forecast above the cap",IF(K8&gt;0.05*G8,"Forecast over budget","On budget")))</f>
        <v>Completed</v>
      </c>
    </row>
    <row r="9" customFormat="false" ht="15" hidden="false" customHeight="false" outlineLevel="0" collapsed="false">
      <c r="A9" s="29" t="s">
        <v>763</v>
      </c>
      <c r="B9" s="29" t="s">
        <v>764</v>
      </c>
      <c r="C9" s="29" t="s">
        <v>758</v>
      </c>
      <c r="D9" s="29" t="s">
        <v>765</v>
      </c>
      <c r="E9" s="18" t="str">
        <f aca="false">Engagement_Register!$F$10</f>
        <v>Completed</v>
      </c>
      <c r="F9" s="62" t="n">
        <f aca="false">Engagement_Register!$J$10</f>
        <v>290000</v>
      </c>
      <c r="G9" s="67" t="n">
        <f aca="false">Engagement_Register!$K$10</f>
        <v>1480</v>
      </c>
      <c r="H9" s="67" t="n">
        <f aca="false">Engagement_Register!$AJ$10</f>
        <v>1560</v>
      </c>
      <c r="I9" s="67" t="n">
        <f aca="false">Engagement_Register!$AK$10</f>
        <v>0</v>
      </c>
      <c r="J9" s="67" t="n">
        <f aca="false">Engagement_Register!$AM$10</f>
        <v>1560</v>
      </c>
      <c r="K9" s="114" t="n">
        <f aca="false">J9-G9</f>
        <v>80</v>
      </c>
      <c r="L9" s="115" t="n">
        <f aca="false">IF(G9=0,0,K9/G9)</f>
        <v>0.0540540540540541</v>
      </c>
      <c r="M9" s="62" t="n">
        <f aca="false">H9*Engagement_Register!$AD$10</f>
        <v>322296</v>
      </c>
      <c r="N9" s="62" t="n">
        <f aca="false">Engagement_Register!$AT$10</f>
        <v>290000</v>
      </c>
      <c r="O9" s="115" t="n">
        <f aca="false">IF(M9=0,0,N9/M9)</f>
        <v>0.899793978206369</v>
      </c>
      <c r="P9" s="62" t="n">
        <f aca="false">Engagement_Register!$AT$10+SUMIFS(Engagements!$E$94:$AB$94,Assumptions!$E$188:$AB$188,"F")</f>
        <v>290000</v>
      </c>
      <c r="Q9" s="62" t="n">
        <f aca="false">M9+SUMIFS(Engagements!$E$91:$AB$91,Assumptions!$E$188:$AB$188,"F")</f>
        <v>322296</v>
      </c>
      <c r="R9" s="115" t="n">
        <f aca="false">IF(Q9=0,0,P9/Q9)</f>
        <v>0.899793978206369</v>
      </c>
      <c r="S9" s="62" t="n">
        <f aca="false">N9-H9*(Engagement_Register!$Y$10*Assumptions!$C$86+Engagement_Register!$Z$10*Assumptions!$C$87+Engagement_Register!$AA$10*Assumptions!$C$88+Engagement_Register!$AB$10*Assumptions!$C$89+Engagement_Register!$AC$10*Assumptions!$C$90)</f>
        <v>112468.198403659</v>
      </c>
      <c r="T9" s="115" t="n">
        <f aca="false">IF(N9=0,0,S9/N9)</f>
        <v>0.387821373805719</v>
      </c>
      <c r="U9" s="62" t="n">
        <f aca="false">Engagement_Register!$AU$10</f>
        <v>290000</v>
      </c>
      <c r="V9" s="62" t="n">
        <f aca="false">INDEX(Engagements!$E$99:$AB$99,Assumptions!$C$10)</f>
        <v>0</v>
      </c>
      <c r="W9" s="18" t="str">
        <f aca="false">IF(OR(E9="Completed",E9="Stopped"),E9,IF(AND(D9="CAP",Engagement_Register!$AQ$10&gt;Engagement_Register!$AP$10),"Forecast above the cap",IF(K9&gt;0.05*G9,"Forecast over budget","On budget")))</f>
        <v>Completed</v>
      </c>
    </row>
    <row r="10" customFormat="false" ht="15" hidden="false" customHeight="false" outlineLevel="0" collapsed="false">
      <c r="A10" s="29" t="s">
        <v>766</v>
      </c>
      <c r="B10" s="29" t="s">
        <v>767</v>
      </c>
      <c r="C10" s="29" t="s">
        <v>754</v>
      </c>
      <c r="D10" s="29" t="s">
        <v>765</v>
      </c>
      <c r="E10" s="18" t="str">
        <f aca="false">Engagement_Register!$F$11</f>
        <v>Completed</v>
      </c>
      <c r="F10" s="62" t="n">
        <f aca="false">Engagement_Register!$J$11</f>
        <v>120000</v>
      </c>
      <c r="G10" s="67" t="n">
        <f aca="false">Engagement_Register!$K$11</f>
        <v>600</v>
      </c>
      <c r="H10" s="67" t="n">
        <f aca="false">Engagement_Register!$AJ$11</f>
        <v>640</v>
      </c>
      <c r="I10" s="67" t="n">
        <f aca="false">Engagement_Register!$AK$11</f>
        <v>0</v>
      </c>
      <c r="J10" s="67" t="n">
        <f aca="false">Engagement_Register!$AM$11</f>
        <v>640</v>
      </c>
      <c r="K10" s="114" t="n">
        <f aca="false">J10-G10</f>
        <v>40</v>
      </c>
      <c r="L10" s="115" t="n">
        <f aca="false">IF(G10=0,0,K10/G10)</f>
        <v>0.0666666666666667</v>
      </c>
      <c r="M10" s="62" t="n">
        <f aca="false">H10*Engagement_Register!$AD$11</f>
        <v>132224</v>
      </c>
      <c r="N10" s="62" t="n">
        <f aca="false">Engagement_Register!$AT$11</f>
        <v>120000</v>
      </c>
      <c r="O10" s="115" t="n">
        <f aca="false">IF(M10=0,0,N10/M10)</f>
        <v>0.907550822846079</v>
      </c>
      <c r="P10" s="62" t="n">
        <f aca="false">Engagement_Register!$AT$11+SUMIFS(Engagements!$E$110:$AB$110,Assumptions!$E$188:$AB$188,"F")</f>
        <v>120000</v>
      </c>
      <c r="Q10" s="62" t="n">
        <f aca="false">M10+SUMIFS(Engagements!$E$107:$AB$107,Assumptions!$E$188:$AB$188,"F")</f>
        <v>132224</v>
      </c>
      <c r="R10" s="115" t="n">
        <f aca="false">IF(Q10=0,0,P10/Q10)</f>
        <v>0.907550822846079</v>
      </c>
      <c r="S10" s="62" t="n">
        <f aca="false">N10-H10*(Engagement_Register!$Y$11*Assumptions!$C$86+Engagement_Register!$Z$11*Assumptions!$C$87+Engagement_Register!$AA$11*Assumptions!$C$88+Engagement_Register!$AB$11*Assumptions!$C$89+Engagement_Register!$AC$11*Assumptions!$C$90)</f>
        <v>47166.4403707317</v>
      </c>
      <c r="T10" s="115" t="n">
        <f aca="false">IF(N10=0,0,S10/N10)</f>
        <v>0.393053669756097</v>
      </c>
      <c r="U10" s="62" t="n">
        <f aca="false">Engagement_Register!$AU$11</f>
        <v>120000</v>
      </c>
      <c r="V10" s="62" t="n">
        <f aca="false">INDEX(Engagements!$E$115:$AB$115,Assumptions!$C$10)</f>
        <v>0</v>
      </c>
      <c r="W10" s="18" t="str">
        <f aca="false">IF(OR(E10="Completed",E10="Stopped"),E10,IF(AND(D10="CAP",Engagement_Register!$AQ$11&gt;Engagement_Register!$AP$11),"Forecast above the cap",IF(K10&gt;0.05*G10,"Forecast over budget","On budget")))</f>
        <v>Completed</v>
      </c>
    </row>
    <row r="11" customFormat="false" ht="15" hidden="false" customHeight="false" outlineLevel="0" collapsed="false">
      <c r="A11" s="29" t="s">
        <v>768</v>
      </c>
      <c r="B11" s="29" t="s">
        <v>769</v>
      </c>
      <c r="C11" s="29" t="s">
        <v>758</v>
      </c>
      <c r="D11" s="29" t="s">
        <v>755</v>
      </c>
      <c r="E11" s="18" t="str">
        <f aca="false">Engagement_Register!$F$12</f>
        <v>Stopped</v>
      </c>
      <c r="F11" s="62" t="n">
        <f aca="false">Engagement_Register!$J$12</f>
        <v>252000</v>
      </c>
      <c r="G11" s="67" t="n">
        <f aca="false">Engagement_Register!$K$12</f>
        <v>1499</v>
      </c>
      <c r="H11" s="67" t="n">
        <f aca="false">Engagement_Register!$AJ$12</f>
        <v>1399.7</v>
      </c>
      <c r="I11" s="67" t="n">
        <f aca="false">Engagement_Register!$AK$12</f>
        <v>0</v>
      </c>
      <c r="J11" s="67" t="n">
        <f aca="false">Engagement_Register!$AM$12</f>
        <v>1399.7</v>
      </c>
      <c r="K11" s="114" t="n">
        <f aca="false">J11-G11</f>
        <v>-99.3</v>
      </c>
      <c r="L11" s="115" t="n">
        <f aca="false">IF(G11=0,0,K11/G11)</f>
        <v>-0.0662441627751834</v>
      </c>
      <c r="M11" s="62" t="n">
        <f aca="false">H11*Engagement_Register!$AD$12</f>
        <v>275320.99</v>
      </c>
      <c r="N11" s="62" t="n">
        <f aca="false">Engagement_Register!$AT$12</f>
        <v>219163.31</v>
      </c>
      <c r="O11" s="115" t="n">
        <f aca="false">IF(M11=0,0,N11/M11)</f>
        <v>0.796028337686858</v>
      </c>
      <c r="P11" s="62" t="n">
        <f aca="false">Engagement_Register!$AT$12+SUMIFS(Engagements!$E$123:$AB$123,Assumptions!$E$188:$AB$188,"F")</f>
        <v>219163.31</v>
      </c>
      <c r="Q11" s="62" t="n">
        <f aca="false">M11+SUMIFS(Engagements!$E$121:$AB$121,Assumptions!$E$188:$AB$188,"F")</f>
        <v>275320.99</v>
      </c>
      <c r="R11" s="115" t="n">
        <f aca="false">IF(Q11=0,0,P11/Q11)</f>
        <v>0.796028337686858</v>
      </c>
      <c r="S11" s="62" t="n">
        <f aca="false">N11-H11*(Engagement_Register!$Y$12*Assumptions!$C$86+Engagement_Register!$Z$12*Assumptions!$C$87+Engagement_Register!$AA$12*Assumptions!$C$88+Engagement_Register!$AB$12*Assumptions!$C$89+Engagement_Register!$AC$12*Assumptions!$C$90)</f>
        <v>80096.3182561306</v>
      </c>
      <c r="T11" s="115" t="n">
        <f aca="false">IF(N11=0,0,S11/N11)</f>
        <v>0.365464083637588</v>
      </c>
      <c r="U11" s="62" t="n">
        <f aca="false">Engagement_Register!$AU$12</f>
        <v>219163.31</v>
      </c>
      <c r="V11" s="62" t="n">
        <f aca="false">INDEX(Engagements!$E$129:$AB$129,Assumptions!$C$10)</f>
        <v>0</v>
      </c>
      <c r="W11" s="18" t="str">
        <f aca="false">IF(OR(E11="Completed",E11="Stopped"),E11,IF(AND(D11="CAP",Engagement_Register!$AQ$12&gt;Engagement_Register!$AP$12),"Forecast above the cap",IF(K11&gt;0.05*G11,"Forecast over budget","On budget")))</f>
        <v>Stopped</v>
      </c>
    </row>
    <row r="12" customFormat="false" ht="15" hidden="false" customHeight="false" outlineLevel="0" collapsed="false">
      <c r="A12" s="29" t="s">
        <v>770</v>
      </c>
      <c r="B12" s="29" t="s">
        <v>771</v>
      </c>
      <c r="C12" s="29" t="s">
        <v>762</v>
      </c>
      <c r="D12" s="29" t="s">
        <v>765</v>
      </c>
      <c r="E12" s="18" t="str">
        <f aca="false">Engagement_Register!$F$13</f>
        <v>Completed</v>
      </c>
      <c r="F12" s="62" t="n">
        <f aca="false">Engagement_Register!$J$13</f>
        <v>240000</v>
      </c>
      <c r="G12" s="67" t="n">
        <f aca="false">Engagement_Register!$K$13</f>
        <v>1300</v>
      </c>
      <c r="H12" s="67" t="n">
        <f aca="false">Engagement_Register!$AJ$13</f>
        <v>1450</v>
      </c>
      <c r="I12" s="67" t="n">
        <f aca="false">Engagement_Register!$AK$13</f>
        <v>0</v>
      </c>
      <c r="J12" s="67" t="n">
        <f aca="false">Engagement_Register!$AM$13</f>
        <v>1450</v>
      </c>
      <c r="K12" s="114" t="n">
        <f aca="false">J12-G12</f>
        <v>150</v>
      </c>
      <c r="L12" s="115" t="n">
        <f aca="false">IF(G12=0,0,K12/G12)</f>
        <v>0.115384615384615</v>
      </c>
      <c r="M12" s="62" t="n">
        <f aca="false">H12*Engagement_Register!$AD$13</f>
        <v>285215</v>
      </c>
      <c r="N12" s="62" t="n">
        <f aca="false">Engagement_Register!$AT$13</f>
        <v>240000</v>
      </c>
      <c r="O12" s="115" t="n">
        <f aca="false">IF(M12=0,0,N12/M12)</f>
        <v>0.841470469645706</v>
      </c>
      <c r="P12" s="62" t="n">
        <f aca="false">Engagement_Register!$AT$13+SUMIFS(Engagements!$E$139:$AB$139,Assumptions!$E$188:$AB$188,"F")</f>
        <v>240000</v>
      </c>
      <c r="Q12" s="62" t="n">
        <f aca="false">M12+SUMIFS(Engagements!$E$136:$AB$136,Assumptions!$E$188:$AB$188,"F")</f>
        <v>285215</v>
      </c>
      <c r="R12" s="115" t="n">
        <f aca="false">IF(Q12=0,0,P12/Q12)</f>
        <v>0.841470469645706</v>
      </c>
      <c r="S12" s="62" t="n">
        <f aca="false">N12-H12*(Engagement_Register!$Y$13*Assumptions!$C$86+Engagement_Register!$Z$13*Assumptions!$C$87+Engagement_Register!$AA$13*Assumptions!$C$88+Engagement_Register!$AB$13*Assumptions!$C$89+Engagement_Register!$AC$13*Assumptions!$C$90)</f>
        <v>95935.4590064938</v>
      </c>
      <c r="T12" s="115" t="n">
        <f aca="false">IF(N12=0,0,S12/N12)</f>
        <v>0.399731079193724</v>
      </c>
      <c r="U12" s="62" t="n">
        <f aca="false">Engagement_Register!$AU$13</f>
        <v>240000</v>
      </c>
      <c r="V12" s="62" t="n">
        <f aca="false">INDEX(Engagements!$E$144:$AB$144,Assumptions!$C$10)</f>
        <v>0</v>
      </c>
      <c r="W12" s="18" t="str">
        <f aca="false">IF(OR(E12="Completed",E12="Stopped"),E12,IF(AND(D12="CAP",Engagement_Register!$AQ$13&gt;Engagement_Register!$AP$13),"Forecast above the cap",IF(K12&gt;0.05*G12,"Forecast over budget","On budget")))</f>
        <v>Completed</v>
      </c>
    </row>
    <row r="13" customFormat="false" ht="15" hidden="false" customHeight="false" outlineLevel="0" collapsed="false">
      <c r="A13" s="29" t="s">
        <v>772</v>
      </c>
      <c r="B13" s="29" t="s">
        <v>773</v>
      </c>
      <c r="C13" s="29" t="s">
        <v>762</v>
      </c>
      <c r="D13" s="29" t="s">
        <v>755</v>
      </c>
      <c r="E13" s="18" t="str">
        <f aca="false">Engagement_Register!$F$14</f>
        <v>In progress</v>
      </c>
      <c r="F13" s="62" t="n">
        <f aca="false">Engagement_Register!$J$14</f>
        <v>523000</v>
      </c>
      <c r="G13" s="67" t="n">
        <f aca="false">Engagement_Register!$K$14</f>
        <v>2854</v>
      </c>
      <c r="H13" s="67" t="n">
        <f aca="false">Engagement_Register!$AJ$14</f>
        <v>2189.7</v>
      </c>
      <c r="I13" s="67" t="n">
        <f aca="false">Engagement_Register!$AK$14</f>
        <v>685.7</v>
      </c>
      <c r="J13" s="67" t="n">
        <f aca="false">Engagement_Register!$AM$14</f>
        <v>2875.4</v>
      </c>
      <c r="K13" s="114" t="n">
        <f aca="false">J13-G13</f>
        <v>21.3999999999996</v>
      </c>
      <c r="L13" s="115" t="n">
        <f aca="false">IF(G13=0,0,K13/G13)</f>
        <v>0.00749824807288004</v>
      </c>
      <c r="M13" s="62" t="n">
        <f aca="false">H13*Engagement_Register!$AD$14</f>
        <v>430713.99</v>
      </c>
      <c r="N13" s="62" t="n">
        <f aca="false">Engagement_Register!$AT$14</f>
        <v>401464.96</v>
      </c>
      <c r="O13" s="115" t="n">
        <f aca="false">IF(M13=0,0,N13/M13)</f>
        <v>0.932091757688205</v>
      </c>
      <c r="P13" s="62" t="n">
        <f aca="false">Engagement_Register!$AT$14+SUMIFS(Engagements!$E$152:$AB$152,Assumptions!$E$188:$AB$188,"F")</f>
        <v>525901.543794146</v>
      </c>
      <c r="Q13" s="62" t="n">
        <f aca="false">M13+SUMIFS(Engagements!$E$150:$AB$150,Assumptions!$E$188:$AB$188,"F")</f>
        <v>565591.18</v>
      </c>
      <c r="R13" s="115" t="n">
        <f aca="false">IF(Q13=0,0,P13/Q13)</f>
        <v>0.929826281580533</v>
      </c>
      <c r="S13" s="62" t="n">
        <f aca="false">N13-H13*(Engagement_Register!$Y$14*Assumptions!$C$86+Engagement_Register!$Z$14*Assumptions!$C$87+Engagement_Register!$AA$14*Assumptions!$C$88+Engagement_Register!$AB$14*Assumptions!$C$89+Engagement_Register!$AC$14*Assumptions!$C$90)</f>
        <v>183907.632128634</v>
      </c>
      <c r="T13" s="115" t="n">
        <f aca="false">IF(N13=0,0,S13/N13)</f>
        <v>0.458091366500912</v>
      </c>
      <c r="U13" s="62" t="n">
        <f aca="false">Engagement_Register!$AU$14</f>
        <v>349902.64</v>
      </c>
      <c r="V13" s="62" t="n">
        <f aca="false">INDEX(Engagements!$E$158:$AB$158,Assumptions!$C$10)</f>
        <v>58660.06</v>
      </c>
      <c r="W13" s="18" t="str">
        <f aca="false">IF(OR(E13="Completed",E13="Stopped"),E13,IF(AND(D13="CAP",Engagement_Register!$AQ$14&gt;Engagement_Register!$AP$14),"Forecast above the cap",IF(K13&gt;0.05*G13,"Forecast over budget","On budget")))</f>
        <v>On budget</v>
      </c>
    </row>
    <row r="14" customFormat="false" ht="15" hidden="false" customHeight="false" outlineLevel="0" collapsed="false">
      <c r="A14" s="29" t="s">
        <v>774</v>
      </c>
      <c r="B14" s="29" t="s">
        <v>767</v>
      </c>
      <c r="C14" s="29" t="s">
        <v>758</v>
      </c>
      <c r="D14" s="29" t="s">
        <v>765</v>
      </c>
      <c r="E14" s="18" t="str">
        <f aca="false">Engagement_Register!$F$15</f>
        <v>Completed</v>
      </c>
      <c r="F14" s="62" t="n">
        <f aca="false">Engagement_Register!$J$15</f>
        <v>210000</v>
      </c>
      <c r="G14" s="67" t="n">
        <f aca="false">Engagement_Register!$K$15</f>
        <v>1070</v>
      </c>
      <c r="H14" s="67" t="n">
        <f aca="false">Engagement_Register!$AJ$15</f>
        <v>1040</v>
      </c>
      <c r="I14" s="67" t="n">
        <f aca="false">Engagement_Register!$AK$15</f>
        <v>0</v>
      </c>
      <c r="J14" s="67" t="n">
        <f aca="false">Engagement_Register!$AM$15</f>
        <v>1040</v>
      </c>
      <c r="K14" s="114" t="n">
        <f aca="false">J14-G14</f>
        <v>-30</v>
      </c>
      <c r="L14" s="115" t="n">
        <f aca="false">IF(G14=0,0,K14/G14)</f>
        <v>-0.0280373831775701</v>
      </c>
      <c r="M14" s="62" t="n">
        <f aca="false">H14*Engagement_Register!$AD$15</f>
        <v>214864</v>
      </c>
      <c r="N14" s="62" t="n">
        <f aca="false">Engagement_Register!$AT$15</f>
        <v>210000</v>
      </c>
      <c r="O14" s="115" t="n">
        <f aca="false">IF(M14=0,0,N14/M14)</f>
        <v>0.97736242460347</v>
      </c>
      <c r="P14" s="62" t="n">
        <f aca="false">Engagement_Register!$AT$15+SUMIFS(Engagements!$E$168:$AB$168,Assumptions!$E$188:$AB$188,"F")</f>
        <v>210000</v>
      </c>
      <c r="Q14" s="62" t="n">
        <f aca="false">M14+SUMIFS(Engagements!$E$165:$AB$165,Assumptions!$E$188:$AB$188,"F")</f>
        <v>214864</v>
      </c>
      <c r="R14" s="115" t="n">
        <f aca="false">IF(Q14=0,0,P14/Q14)</f>
        <v>0.97736242460347</v>
      </c>
      <c r="S14" s="62" t="n">
        <f aca="false">N14-H14*(Engagement_Register!$Y$15*Assumptions!$C$86+Engagement_Register!$Z$15*Assumptions!$C$87+Engagement_Register!$AA$15*Assumptions!$C$88+Engagement_Register!$AB$15*Assumptions!$C$89+Engagement_Register!$AC$15*Assumptions!$C$90)</f>
        <v>91645.465602439</v>
      </c>
      <c r="T14" s="115" t="n">
        <f aca="false">IF(N14=0,0,S14/N14)</f>
        <v>0.436406979059233</v>
      </c>
      <c r="U14" s="62" t="n">
        <f aca="false">Engagement_Register!$AU$15</f>
        <v>210000</v>
      </c>
      <c r="V14" s="62" t="n">
        <f aca="false">INDEX(Engagements!$E$173:$AB$173,Assumptions!$C$10)</f>
        <v>0</v>
      </c>
      <c r="W14" s="18" t="str">
        <f aca="false">IF(OR(E14="Completed",E14="Stopped"),E14,IF(AND(D14="CAP",Engagement_Register!$AQ$15&gt;Engagement_Register!$AP$15),"Forecast above the cap",IF(K14&gt;0.05*G14,"Forecast over budget","On budget")))</f>
        <v>Completed</v>
      </c>
    </row>
    <row r="15" customFormat="false" ht="15" hidden="false" customHeight="false" outlineLevel="0" collapsed="false">
      <c r="A15" s="29" t="s">
        <v>775</v>
      </c>
      <c r="B15" s="29" t="s">
        <v>776</v>
      </c>
      <c r="C15" s="29" t="s">
        <v>754</v>
      </c>
      <c r="D15" s="29" t="s">
        <v>759</v>
      </c>
      <c r="E15" s="18" t="str">
        <f aca="false">Engagement_Register!$F$16</f>
        <v>In progress</v>
      </c>
      <c r="F15" s="62" t="n">
        <f aca="false">Engagement_Register!$J$16</f>
        <v>260000</v>
      </c>
      <c r="G15" s="67" t="n">
        <f aca="false">Engagement_Register!$K$16</f>
        <v>1380</v>
      </c>
      <c r="H15" s="67" t="n">
        <f aca="false">Engagement_Register!$AJ$16</f>
        <v>1061.2</v>
      </c>
      <c r="I15" s="67" t="n">
        <f aca="false">Engagement_Register!$AK$16</f>
        <v>388.8</v>
      </c>
      <c r="J15" s="67" t="n">
        <f aca="false">Engagement_Register!$AM$16</f>
        <v>1469.44</v>
      </c>
      <c r="K15" s="114" t="n">
        <f aca="false">J15-G15</f>
        <v>89.4400000000001</v>
      </c>
      <c r="L15" s="115" t="n">
        <f aca="false">IF(G15=0,0,K15/G15)</f>
        <v>0.0648115942028986</v>
      </c>
      <c r="M15" s="62" t="n">
        <f aca="false">H15*Engagement_Register!$AD$16</f>
        <v>208738.04</v>
      </c>
      <c r="N15" s="62" t="n">
        <f aca="false">Engagement_Register!$AT$16</f>
        <v>190284.14</v>
      </c>
      <c r="O15" s="115" t="n">
        <f aca="false">IF(M15=0,0,N15/M15)</f>
        <v>0.911593018694628</v>
      </c>
      <c r="P15" s="62" t="n">
        <f aca="false">Engagement_Register!$AT$16+SUMIFS(Engagements!$E$185:$AB$185,Assumptions!$E$188:$AB$188,"F")</f>
        <v>260000</v>
      </c>
      <c r="Q15" s="62" t="n">
        <f aca="false">M15+SUMIFS(Engagements!$E$181:$AB$181,Assumptions!$E$188:$AB$188,"F")</f>
        <v>289038.848</v>
      </c>
      <c r="R15" s="115" t="n">
        <f aca="false">IF(Q15=0,0,P15/Q15)</f>
        <v>0.899533062074756</v>
      </c>
      <c r="S15" s="62" t="n">
        <f aca="false">N15-H15*(Engagement_Register!$Y$16*Assumptions!$C$86+Engagement_Register!$Z$16*Assumptions!$C$87+Engagement_Register!$AA$16*Assumptions!$C$88+Engagement_Register!$AB$16*Assumptions!$C$89+Engagement_Register!$AC$16*Assumptions!$C$90)</f>
        <v>84848.766963925</v>
      </c>
      <c r="T15" s="115" t="n">
        <f aca="false">IF(N15=0,0,S15/N15)</f>
        <v>0.445905617588124</v>
      </c>
      <c r="U15" s="62" t="n">
        <f aca="false">Engagement_Register!$AU$16</f>
        <v>165798.04</v>
      </c>
      <c r="V15" s="62" t="n">
        <f aca="false">INDEX(Engagements!$E$191:$AB$191,Assumptions!$C$10)</f>
        <v>25832.76</v>
      </c>
      <c r="W15" s="18" t="str">
        <f aca="false">IF(OR(E15="Completed",E15="Stopped"),E15,IF(AND(D15="CAP",Engagement_Register!$AQ$16&gt;Engagement_Register!$AP$16),"Forecast above the cap",IF(K15&gt;0.05*G15,"Forecast over budget","On budget")))</f>
        <v>Forecast above the cap</v>
      </c>
    </row>
    <row r="16" customFormat="false" ht="15" hidden="false" customHeight="false" outlineLevel="0" collapsed="false">
      <c r="A16" s="29" t="s">
        <v>777</v>
      </c>
      <c r="B16" s="29" t="s">
        <v>776</v>
      </c>
      <c r="C16" s="29" t="s">
        <v>762</v>
      </c>
      <c r="D16" s="29" t="s">
        <v>765</v>
      </c>
      <c r="E16" s="18" t="str">
        <f aca="false">Engagement_Register!$F$17</f>
        <v>In progress</v>
      </c>
      <c r="F16" s="62" t="n">
        <f aca="false">Engagement_Register!$J$17</f>
        <v>165000</v>
      </c>
      <c r="G16" s="67" t="n">
        <f aca="false">Engagement_Register!$K$17</f>
        <v>840</v>
      </c>
      <c r="H16" s="67" t="n">
        <f aca="false">Engagement_Register!$AJ$17</f>
        <v>704.9</v>
      </c>
      <c r="I16" s="67" t="n">
        <f aca="false">Engagement_Register!$AK$17</f>
        <v>175.1</v>
      </c>
      <c r="J16" s="67" t="n">
        <f aca="false">Engagement_Register!$AM$17</f>
        <v>888.755</v>
      </c>
      <c r="K16" s="114" t="n">
        <f aca="false">J16-G16</f>
        <v>48.755</v>
      </c>
      <c r="L16" s="115" t="n">
        <f aca="false">IF(G16=0,0,K16/G16)</f>
        <v>0.0580416666666667</v>
      </c>
      <c r="M16" s="62" t="n">
        <f aca="false">H16*Engagement_Register!$AD$17</f>
        <v>145632.34</v>
      </c>
      <c r="N16" s="62" t="n">
        <f aca="false">Engagement_Register!$AT$17</f>
        <v>132168.75</v>
      </c>
      <c r="O16" s="115" t="n">
        <f aca="false">IF(M16=0,0,N16/M16)</f>
        <v>0.907550822846079</v>
      </c>
      <c r="P16" s="62" t="n">
        <f aca="false">Engagement_Register!$AT$17+SUMIFS(Engagements!$E$202:$AB$202,Assumptions!$E$188:$AB$188,"F")</f>
        <v>165000</v>
      </c>
      <c r="Q16" s="62" t="n">
        <f aca="false">M16+SUMIFS(Engagements!$E$199:$AB$199,Assumptions!$E$188:$AB$188,"F")</f>
        <v>183616.783</v>
      </c>
      <c r="R16" s="115" t="n">
        <f aca="false">IF(Q16=0,0,P16/Q16)</f>
        <v>0.898610667849463</v>
      </c>
      <c r="S16" s="62" t="n">
        <f aca="false">N16-H16*(Engagement_Register!$Y$17*Assumptions!$C$86+Engagement_Register!$Z$17*Assumptions!$C$87+Engagement_Register!$AA$17*Assumptions!$C$88+Engagement_Register!$AB$17*Assumptions!$C$89+Engagement_Register!$AC$17*Assumptions!$C$90)</f>
        <v>51949.4122145762</v>
      </c>
      <c r="T16" s="115" t="n">
        <f aca="false">IF(N16=0,0,S16/N16)</f>
        <v>0.393053669756097</v>
      </c>
      <c r="U16" s="62" t="n">
        <f aca="false">Engagement_Register!$AU$17</f>
        <v>115500</v>
      </c>
      <c r="V16" s="62" t="n">
        <f aca="false">INDEX(Engagements!$E$207:$AB$207,Assumptions!$C$10)</f>
        <v>16668.75</v>
      </c>
      <c r="W16" s="18" t="str">
        <f aca="false">IF(OR(E16="Completed",E16="Stopped"),E16,IF(AND(D16="CAP",Engagement_Register!$AQ$17&gt;Engagement_Register!$AP$17),"Forecast above the cap",IF(K16&gt;0.05*G16,"Forecast over budget","On budget")))</f>
        <v>Forecast over budget</v>
      </c>
    </row>
    <row r="17" customFormat="false" ht="15" hidden="false" customHeight="false" outlineLevel="0" collapsed="false">
      <c r="A17" s="29" t="s">
        <v>778</v>
      </c>
      <c r="B17" s="29" t="s">
        <v>779</v>
      </c>
      <c r="C17" s="29" t="s">
        <v>758</v>
      </c>
      <c r="D17" s="29" t="s">
        <v>755</v>
      </c>
      <c r="E17" s="18" t="str">
        <f aca="false">Engagement_Register!$F$18</f>
        <v>In progress</v>
      </c>
      <c r="F17" s="62" t="n">
        <f aca="false">Engagement_Register!$J$18</f>
        <v>673000</v>
      </c>
      <c r="G17" s="67" t="n">
        <f aca="false">Engagement_Register!$K$18</f>
        <v>3714</v>
      </c>
      <c r="H17" s="67" t="n">
        <f aca="false">Engagement_Register!$AJ$18</f>
        <v>1709.2</v>
      </c>
      <c r="I17" s="67" t="n">
        <f aca="false">Engagement_Register!$AK$18</f>
        <v>1955.7</v>
      </c>
      <c r="J17" s="67" t="n">
        <f aca="false">Engagement_Register!$AM$18</f>
        <v>3664.9</v>
      </c>
      <c r="K17" s="114" t="n">
        <f aca="false">J17-G17</f>
        <v>-49.0999999999999</v>
      </c>
      <c r="L17" s="115" t="n">
        <f aca="false">IF(G17=0,0,K17/G17)</f>
        <v>-0.0132202477113624</v>
      </c>
      <c r="M17" s="62" t="n">
        <f aca="false">H17*Engagement_Register!$AD$18</f>
        <v>336199.64</v>
      </c>
      <c r="N17" s="62" t="n">
        <f aca="false">Engagement_Register!$AT$18</f>
        <v>311168.67</v>
      </c>
      <c r="O17" s="115" t="n">
        <f aca="false">IF(M17=0,0,N17/M17)</f>
        <v>0.925547302787118</v>
      </c>
      <c r="P17" s="62" t="n">
        <f aca="false">Engagement_Register!$AT$18+SUMIFS(Engagements!$E$215:$AB$215,Assumptions!$E$188:$AB$188,"F")</f>
        <v>663559.416768953</v>
      </c>
      <c r="Q17" s="62" t="n">
        <f aca="false">M17+SUMIFS(Engagements!$E$213:$AB$213,Assumptions!$E$188:$AB$188,"F")</f>
        <v>720885.83</v>
      </c>
      <c r="R17" s="115" t="n">
        <f aca="false">IF(Q17=0,0,P17/Q17)</f>
        <v>0.920477819308714</v>
      </c>
      <c r="S17" s="62" t="n">
        <f aca="false">N17-H17*(Engagement_Register!$Y$18*Assumptions!$C$86+Engagement_Register!$Z$18*Assumptions!$C$87+Engagement_Register!$AA$18*Assumptions!$C$88+Engagement_Register!$AB$18*Assumptions!$C$89+Engagement_Register!$AC$18*Assumptions!$C$90)</f>
        <v>141351.350368206</v>
      </c>
      <c r="T17" s="115" t="n">
        <f aca="false">IF(N17=0,0,S17/N17)</f>
        <v>0.454259583293544</v>
      </c>
      <c r="U17" s="62" t="n">
        <f aca="false">Engagement_Register!$AU$18</f>
        <v>235565.85</v>
      </c>
      <c r="V17" s="62" t="n">
        <f aca="false">INDEX(Engagements!$E$221:$AB$221,Assumptions!$C$10)</f>
        <v>80285.09</v>
      </c>
      <c r="W17" s="18" t="str">
        <f aca="false">IF(OR(E17="Completed",E17="Stopped"),E17,IF(AND(D17="CAP",Engagement_Register!$AQ$18&gt;Engagement_Register!$AP$18),"Forecast above the cap",IF(K17&gt;0.05*G17,"Forecast over budget","On budget")))</f>
        <v>On budget</v>
      </c>
    </row>
    <row r="18" customFormat="false" ht="15" hidden="false" customHeight="false" outlineLevel="0" collapsed="false">
      <c r="A18" s="29" t="s">
        <v>780</v>
      </c>
      <c r="B18" s="29" t="s">
        <v>781</v>
      </c>
      <c r="C18" s="29" t="s">
        <v>758</v>
      </c>
      <c r="D18" s="29" t="s">
        <v>765</v>
      </c>
      <c r="E18" s="18" t="str">
        <f aca="false">Engagement_Register!$F$19</f>
        <v>In progress</v>
      </c>
      <c r="F18" s="62" t="n">
        <f aca="false">Engagement_Register!$J$19</f>
        <v>180000</v>
      </c>
      <c r="G18" s="67" t="n">
        <f aca="false">Engagement_Register!$K$19</f>
        <v>910</v>
      </c>
      <c r="H18" s="67" t="n">
        <f aca="false">Engagement_Register!$AJ$19</f>
        <v>440.7</v>
      </c>
      <c r="I18" s="67" t="n">
        <f aca="false">Engagement_Register!$AK$19</f>
        <v>469.3</v>
      </c>
      <c r="J18" s="67" t="n">
        <f aca="false">Engagement_Register!$AM$19</f>
        <v>933.465</v>
      </c>
      <c r="K18" s="114" t="n">
        <f aca="false">J18-G18</f>
        <v>23.465</v>
      </c>
      <c r="L18" s="115" t="n">
        <f aca="false">IF(G18=0,0,K18/G18)</f>
        <v>0.0257857142857143</v>
      </c>
      <c r="M18" s="62" t="n">
        <f aca="false">H18*Engagement_Register!$AD$19</f>
        <v>91048.62</v>
      </c>
      <c r="N18" s="62" t="n">
        <f aca="false">Engagement_Register!$AT$19</f>
        <v>87171.43</v>
      </c>
      <c r="O18" s="115" t="n">
        <f aca="false">IF(M18=0,0,N18/M18)</f>
        <v>0.957416268362991</v>
      </c>
      <c r="P18" s="62" t="n">
        <f aca="false">Engagement_Register!$AT$19+SUMIFS(Engagements!$E$231:$AB$231,Assumptions!$E$188:$AB$188,"F")</f>
        <v>180000</v>
      </c>
      <c r="Q18" s="62" t="n">
        <f aca="false">M18+SUMIFS(Engagements!$E$228:$AB$228,Assumptions!$E$188:$AB$188,"F")</f>
        <v>192853.869</v>
      </c>
      <c r="R18" s="115" t="n">
        <f aca="false">IF(Q18=0,0,P18/Q18)</f>
        <v>0.933349177454148</v>
      </c>
      <c r="S18" s="62" t="n">
        <f aca="false">N18-H18*(Engagement_Register!$Y$19*Assumptions!$C$86+Engagement_Register!$Z$19*Assumptions!$C$87+Engagement_Register!$AA$19*Assumptions!$C$88+Engagement_Register!$AB$19*Assumptions!$C$89+Engagement_Register!$AC$19*Assumptions!$C$90)</f>
        <v>37018.6960490335</v>
      </c>
      <c r="T18" s="115" t="n">
        <f aca="false">IF(N18=0,0,S18/N18)</f>
        <v>0.424665467218256</v>
      </c>
      <c r="U18" s="62" t="n">
        <f aca="false">Engagement_Register!$AU$19</f>
        <v>54000</v>
      </c>
      <c r="V18" s="62" t="n">
        <f aca="false">INDEX(Engagements!$E$236:$AB$236,Assumptions!$C$10)</f>
        <v>33171.43</v>
      </c>
      <c r="W18" s="18" t="str">
        <f aca="false">IF(OR(E18="Completed",E18="Stopped"),E18,IF(AND(D18="CAP",Engagement_Register!$AQ$19&gt;Engagement_Register!$AP$19),"Forecast above the cap",IF(K18&gt;0.05*G18,"Forecast over budget","On budget")))</f>
        <v>On budget</v>
      </c>
    </row>
    <row r="19" customFormat="false" ht="15" hidden="false" customHeight="false" outlineLevel="0" collapsed="false">
      <c r="A19" s="29" t="s">
        <v>782</v>
      </c>
      <c r="B19" s="29" t="s">
        <v>761</v>
      </c>
      <c r="C19" s="29" t="s">
        <v>762</v>
      </c>
      <c r="D19" s="29" t="s">
        <v>759</v>
      </c>
      <c r="E19" s="18" t="str">
        <f aca="false">Engagement_Register!$F$20</f>
        <v>In progress</v>
      </c>
      <c r="F19" s="62" t="n">
        <f aca="false">Engagement_Register!$J$20</f>
        <v>430000</v>
      </c>
      <c r="G19" s="67" t="n">
        <f aca="false">Engagement_Register!$K$20</f>
        <v>2300</v>
      </c>
      <c r="H19" s="67" t="n">
        <f aca="false">Engagement_Register!$AJ$20</f>
        <v>561.3</v>
      </c>
      <c r="I19" s="67" t="n">
        <f aca="false">Engagement_Register!$AK$20</f>
        <v>1738.7</v>
      </c>
      <c r="J19" s="67" t="n">
        <f aca="false">Engagement_Register!$AM$20</f>
        <v>2386.935</v>
      </c>
      <c r="K19" s="114" t="n">
        <f aca="false">J19-G19</f>
        <v>86.9350000000004</v>
      </c>
      <c r="L19" s="115" t="n">
        <f aca="false">IF(G19=0,0,K19/G19)</f>
        <v>0.0377978260869567</v>
      </c>
      <c r="M19" s="62" t="n">
        <f aca="false">H19*Engagement_Register!$AD$20</f>
        <v>110407.71</v>
      </c>
      <c r="N19" s="62" t="n">
        <f aca="false">Engagement_Register!$AT$20</f>
        <v>102679.17</v>
      </c>
      <c r="O19" s="115" t="n">
        <f aca="false">IF(M19=0,0,N19/M19)</f>
        <v>0.929999997282798</v>
      </c>
      <c r="P19" s="62" t="n">
        <f aca="false">Engagement_Register!$AT$20+SUMIFS(Engagements!$E$248:$AB$248,Assumptions!$E$188:$AB$188,"F")</f>
        <v>430000</v>
      </c>
      <c r="Q19" s="62" t="n">
        <f aca="false">M19+SUMIFS(Engagements!$E$244:$AB$244,Assumptions!$E$188:$AB$188,"F")</f>
        <v>473877.122225445</v>
      </c>
      <c r="R19" s="115" t="n">
        <f aca="false">IF(Q19=0,0,P19/Q19)</f>
        <v>0.907408228488882</v>
      </c>
      <c r="S19" s="62" t="n">
        <f aca="false">N19-H19*(Engagement_Register!$Y$20*Assumptions!$C$86+Engagement_Register!$Z$20*Assumptions!$C$87+Engagement_Register!$AA$20*Assumptions!$C$88+Engagement_Register!$AB$20*Assumptions!$C$89+Engagement_Register!$AC$20*Assumptions!$C$90)</f>
        <v>46911.2894071345</v>
      </c>
      <c r="T19" s="115" t="n">
        <f aca="false">IF(N19=0,0,S19/N19)</f>
        <v>0.456872503031866</v>
      </c>
      <c r="U19" s="62" t="n">
        <f aca="false">Engagement_Register!$AU$20</f>
        <v>57019.59</v>
      </c>
      <c r="V19" s="62" t="n">
        <f aca="false">INDEX(Engagements!$E$254:$AB$254,Assumptions!$C$10)</f>
        <v>48026.69</v>
      </c>
      <c r="W19" s="18" t="str">
        <f aca="false">IF(OR(E19="Completed",E19="Stopped"),E19,IF(AND(D19="CAP",Engagement_Register!$AQ$20&gt;Engagement_Register!$AP$20),"Forecast above the cap",IF(K19&gt;0.05*G19,"Forecast over budget","On budget")))</f>
        <v>Forecast above the cap</v>
      </c>
    </row>
    <row r="20" customFormat="false" ht="15" hidden="false" customHeight="false" outlineLevel="0" collapsed="false">
      <c r="A20" s="29" t="s">
        <v>783</v>
      </c>
      <c r="B20" s="29" t="s">
        <v>771</v>
      </c>
      <c r="C20" s="29" t="s">
        <v>754</v>
      </c>
      <c r="D20" s="29" t="s">
        <v>765</v>
      </c>
      <c r="E20" s="18" t="str">
        <f aca="false">Engagement_Register!$F$21</f>
        <v>In progress</v>
      </c>
      <c r="F20" s="62" t="n">
        <f aca="false">Engagement_Register!$J$21</f>
        <v>90000</v>
      </c>
      <c r="G20" s="67" t="n">
        <f aca="false">Engagement_Register!$K$21</f>
        <v>440</v>
      </c>
      <c r="H20" s="67" t="n">
        <f aca="false">Engagement_Register!$AJ$21</f>
        <v>286.5</v>
      </c>
      <c r="I20" s="67" t="n">
        <f aca="false">Engagement_Register!$AK$21</f>
        <v>183.5</v>
      </c>
      <c r="J20" s="67" t="n">
        <f aca="false">Engagement_Register!$AM$21</f>
        <v>479.175</v>
      </c>
      <c r="K20" s="114" t="n">
        <f aca="false">J20-G20</f>
        <v>39.175</v>
      </c>
      <c r="L20" s="115" t="n">
        <f aca="false">IF(G20=0,0,K20/G20)</f>
        <v>0.0890340909090909</v>
      </c>
      <c r="M20" s="62" t="n">
        <f aca="false">H20*Engagement_Register!$AD$21</f>
        <v>59190.9</v>
      </c>
      <c r="N20" s="62" t="n">
        <f aca="false">Engagement_Register!$AT$21</f>
        <v>54861.7</v>
      </c>
      <c r="O20" s="115" t="n">
        <f aca="false">IF(M20=0,0,N20/M20)</f>
        <v>0.926860378875807</v>
      </c>
      <c r="P20" s="62" t="n">
        <f aca="false">Engagement_Register!$AT$21+SUMIFS(Engagements!$E$265:$AB$265,Assumptions!$E$188:$AB$188,"F")</f>
        <v>90000</v>
      </c>
      <c r="Q20" s="62" t="n">
        <f aca="false">M20+SUMIFS(Engagements!$E$262:$AB$262,Assumptions!$E$188:$AB$188,"F")</f>
        <v>98997.555</v>
      </c>
      <c r="R20" s="115" t="n">
        <f aca="false">IF(Q20=0,0,P20/Q20)</f>
        <v>0.909113361436047</v>
      </c>
      <c r="S20" s="62" t="n">
        <f aca="false">N20-H20*(Engagement_Register!$Y$21*Assumptions!$C$86+Engagement_Register!$Z$21*Assumptions!$C$87+Engagement_Register!$AA$21*Assumptions!$C$88+Engagement_Register!$AB$21*Assumptions!$C$89+Engagement_Register!$AC$21*Assumptions!$C$90)</f>
        <v>22257.3018222104</v>
      </c>
      <c r="T20" s="115" t="n">
        <f aca="false">IF(N20=0,0,S20/N20)</f>
        <v>0.405698361921165</v>
      </c>
      <c r="U20" s="62" t="n">
        <f aca="false">Engagement_Register!$AU$21</f>
        <v>63000</v>
      </c>
      <c r="V20" s="62" t="n">
        <f aca="false">INDEX(Engagements!$E$270:$AB$270,Assumptions!$C$10)</f>
        <v>-8138.3</v>
      </c>
      <c r="W20" s="18" t="str">
        <f aca="false">IF(OR(E20="Completed",E20="Stopped"),E20,IF(AND(D20="CAP",Engagement_Register!$AQ$21&gt;Engagement_Register!$AP$21),"Forecast above the cap",IF(K20&gt;0.05*G20,"Forecast over budget","On budget")))</f>
        <v>Forecast over budget</v>
      </c>
    </row>
    <row r="21" customFormat="false" ht="15" hidden="false" customHeight="false" outlineLevel="0" collapsed="false">
      <c r="A21" s="29" t="s">
        <v>784</v>
      </c>
      <c r="B21" s="29" t="s">
        <v>757</v>
      </c>
      <c r="C21" s="29" t="s">
        <v>758</v>
      </c>
      <c r="D21" s="29" t="s">
        <v>765</v>
      </c>
      <c r="E21" s="18" t="str">
        <f aca="false">Engagement_Register!$F$22</f>
        <v>In progress</v>
      </c>
      <c r="F21" s="62" t="n">
        <f aca="false">Engagement_Register!$J$22</f>
        <v>95000</v>
      </c>
      <c r="G21" s="67" t="n">
        <f aca="false">Engagement_Register!$K$22</f>
        <v>480</v>
      </c>
      <c r="H21" s="67" t="n">
        <f aca="false">Engagement_Register!$AJ$22</f>
        <v>138.3</v>
      </c>
      <c r="I21" s="67" t="n">
        <f aca="false">Engagement_Register!$AK$22</f>
        <v>341.7</v>
      </c>
      <c r="J21" s="67" t="n">
        <f aca="false">Engagement_Register!$AM$22</f>
        <v>497.085</v>
      </c>
      <c r="K21" s="114" t="n">
        <f aca="false">J21-G21</f>
        <v>17.085</v>
      </c>
      <c r="L21" s="115" t="n">
        <f aca="false">IF(G21=0,0,K21/G21)</f>
        <v>0.0355937500000001</v>
      </c>
      <c r="M21" s="62" t="n">
        <f aca="false">H21*Engagement_Register!$AD$22</f>
        <v>28572.78</v>
      </c>
      <c r="N21" s="62" t="n">
        <f aca="false">Engagement_Register!$AT$22</f>
        <v>27371.88</v>
      </c>
      <c r="O21" s="115" t="n">
        <f aca="false">IF(M21=0,0,N21/M21)</f>
        <v>0.957970487995918</v>
      </c>
      <c r="P21" s="62" t="n">
        <f aca="false">Engagement_Register!$AT$22+SUMIFS(Engagements!$E$281:$AB$281,Assumptions!$E$188:$AB$188,"F")</f>
        <v>95000</v>
      </c>
      <c r="Q21" s="62" t="n">
        <f aca="false">M21+SUMIFS(Engagements!$E$278:$AB$278,Assumptions!$E$188:$AB$188,"F")</f>
        <v>102697.761</v>
      </c>
      <c r="R21" s="115" t="n">
        <f aca="false">IF(Q21=0,0,P21/Q21)</f>
        <v>0.925044509977194</v>
      </c>
      <c r="S21" s="62" t="n">
        <f aca="false">N21-H21*(Engagement_Register!$Y$22*Assumptions!$C$86+Engagement_Register!$Z$22*Assumptions!$C$87+Engagement_Register!$AA$22*Assumptions!$C$88+Engagement_Register!$AB$22*Assumptions!$C$89+Engagement_Register!$AC$22*Assumptions!$C$90)</f>
        <v>11633.0029738628</v>
      </c>
      <c r="T21" s="115" t="n">
        <f aca="false">IF(N21=0,0,S21/N21)</f>
        <v>0.424998318488273</v>
      </c>
      <c r="U21" s="62" t="n">
        <f aca="false">Engagement_Register!$AU$22</f>
        <v>28500</v>
      </c>
      <c r="V21" s="62" t="n">
        <f aca="false">INDEX(Engagements!$E$286:$AB$286,Assumptions!$C$10)</f>
        <v>-1128.12</v>
      </c>
      <c r="W21" s="18" t="str">
        <f aca="false">IF(OR(E21="Completed",E21="Stopped"),E21,IF(AND(D21="CAP",Engagement_Register!$AQ$22&gt;Engagement_Register!$AP$22),"Forecast above the cap",IF(K21&gt;0.05*G21,"Forecast over budget","On budget")))</f>
        <v>On budget</v>
      </c>
    </row>
    <row r="22" customFormat="false" ht="15" hidden="false" customHeight="false" outlineLevel="0" collapsed="false">
      <c r="A22" s="29" t="s">
        <v>785</v>
      </c>
      <c r="B22" s="29" t="s">
        <v>786</v>
      </c>
      <c r="C22" s="29" t="s">
        <v>758</v>
      </c>
      <c r="D22" s="29" t="s">
        <v>755</v>
      </c>
      <c r="E22" s="18" t="str">
        <f aca="false">Engagement_Register!$F$23</f>
        <v>Completed</v>
      </c>
      <c r="F22" s="62" t="n">
        <f aca="false">Engagement_Register!$J$23</f>
        <v>393000</v>
      </c>
      <c r="G22" s="67" t="n">
        <f aca="false">Engagement_Register!$K$23</f>
        <v>2191</v>
      </c>
      <c r="H22" s="67" t="n">
        <f aca="false">Engagement_Register!$AJ$23</f>
        <v>2183.2</v>
      </c>
      <c r="I22" s="67" t="n">
        <f aca="false">Engagement_Register!$AK$23</f>
        <v>0</v>
      </c>
      <c r="J22" s="67" t="n">
        <f aca="false">Engagement_Register!$AM$23</f>
        <v>2183.2</v>
      </c>
      <c r="K22" s="114" t="n">
        <f aca="false">J22-G22</f>
        <v>-7.80000000000018</v>
      </c>
      <c r="L22" s="115" t="n">
        <f aca="false">IF(G22=0,0,K22/G22)</f>
        <v>-0.00356001825650396</v>
      </c>
      <c r="M22" s="62" t="n">
        <f aca="false">H22*Engagement_Register!$AD$23</f>
        <v>429435.44</v>
      </c>
      <c r="N22" s="62" t="n">
        <f aca="false">Engagement_Register!$AT$23</f>
        <v>393059.74</v>
      </c>
      <c r="O22" s="115" t="n">
        <f aca="false">IF(M22=0,0,N22/M22)</f>
        <v>0.91529413594742</v>
      </c>
      <c r="P22" s="62" t="n">
        <f aca="false">Engagement_Register!$AT$23+SUMIFS(Engagements!$E$294:$AB$294,Assumptions!$E$188:$AB$188,"F")</f>
        <v>393059.74</v>
      </c>
      <c r="Q22" s="62" t="n">
        <f aca="false">M22+SUMIFS(Engagements!$E$292:$AB$292,Assumptions!$E$188:$AB$188,"F")</f>
        <v>429435.44</v>
      </c>
      <c r="R22" s="115" t="n">
        <f aca="false">IF(Q22=0,0,P22/Q22)</f>
        <v>0.91529413594742</v>
      </c>
      <c r="S22" s="62" t="n">
        <f aca="false">N22-H22*(Engagement_Register!$Y$23*Assumptions!$C$86+Engagement_Register!$Z$23*Assumptions!$C$87+Engagement_Register!$AA$23*Assumptions!$C$88+Engagement_Register!$AB$23*Assumptions!$C$89+Engagement_Register!$AC$23*Assumptions!$C$90)</f>
        <v>176148.218691708</v>
      </c>
      <c r="T22" s="115" t="n">
        <f aca="false">IF(N22=0,0,S22/N22)</f>
        <v>0.448146174145712</v>
      </c>
      <c r="U22" s="62" t="n">
        <f aca="false">Engagement_Register!$AU$23</f>
        <v>393059.74</v>
      </c>
      <c r="V22" s="62" t="n">
        <f aca="false">INDEX(Engagements!$E$300:$AB$300,Assumptions!$C$10)</f>
        <v>0</v>
      </c>
      <c r="W22" s="18" t="str">
        <f aca="false">IF(OR(E22="Completed",E22="Stopped"),E22,IF(AND(D22="CAP",Engagement_Register!$AQ$23&gt;Engagement_Register!$AP$23),"Forecast above the cap",IF(K22&gt;0.05*G22,"Forecast over budget","On budget")))</f>
        <v>Completed</v>
      </c>
    </row>
    <row r="23" customFormat="false" ht="15" hidden="false" customHeight="false" outlineLevel="0" collapsed="false">
      <c r="A23" s="29" t="s">
        <v>787</v>
      </c>
      <c r="B23" s="29" t="s">
        <v>753</v>
      </c>
      <c r="C23" s="29" t="s">
        <v>758</v>
      </c>
      <c r="D23" s="29" t="s">
        <v>759</v>
      </c>
      <c r="E23" s="18" t="str">
        <f aca="false">Engagement_Register!$F$24</f>
        <v>Contracted</v>
      </c>
      <c r="F23" s="62" t="n">
        <f aca="false">Engagement_Register!$J$24</f>
        <v>400000</v>
      </c>
      <c r="G23" s="67" t="n">
        <f aca="false">Engagement_Register!$K$24</f>
        <v>2100</v>
      </c>
      <c r="H23" s="67" t="n">
        <f aca="false">Engagement_Register!$AJ$24</f>
        <v>0</v>
      </c>
      <c r="I23" s="67" t="n">
        <f aca="false">Engagement_Register!$AK$24</f>
        <v>2100</v>
      </c>
      <c r="J23" s="67" t="n">
        <f aca="false">Engagement_Register!$AM$24</f>
        <v>2205</v>
      </c>
      <c r="K23" s="114" t="n">
        <f aca="false">J23-G23</f>
        <v>105</v>
      </c>
      <c r="L23" s="115" t="n">
        <f aca="false">IF(G23=0,0,K23/G23)</f>
        <v>0.05</v>
      </c>
      <c r="M23" s="62" t="n">
        <f aca="false">H23*Engagement_Register!$AD$24</f>
        <v>0</v>
      </c>
      <c r="N23" s="62" t="n">
        <f aca="false">Engagement_Register!$AT$24</f>
        <v>0</v>
      </c>
      <c r="O23" s="115" t="n">
        <f aca="false">IF(M23=0,0,N23/M23)</f>
        <v>0</v>
      </c>
      <c r="P23" s="62" t="n">
        <f aca="false">Engagement_Register!$AT$24+SUMIFS(Engagements!$E$311:$AB$311,Assumptions!$E$188:$AB$188,"F")</f>
        <v>400000</v>
      </c>
      <c r="Q23" s="62" t="n">
        <f aca="false">M23+SUMIFS(Engagements!$E$307:$AB$307,Assumptions!$E$188:$AB$188,"F")</f>
        <v>440713.201348315</v>
      </c>
      <c r="R23" s="115" t="n">
        <f aca="false">IF(Q23=0,0,P23/Q23)</f>
        <v>0.907619737226484</v>
      </c>
      <c r="S23" s="62" t="n">
        <f aca="false">N23-H23*(Engagement_Register!$Y$24*Assumptions!$C$86+Engagement_Register!$Z$24*Assumptions!$C$87+Engagement_Register!$AA$24*Assumptions!$C$88+Engagement_Register!$AB$24*Assumptions!$C$89+Engagement_Register!$AC$24*Assumptions!$C$90)</f>
        <v>0</v>
      </c>
      <c r="T23" s="115" t="n">
        <f aca="false">IF(N23=0,0,S23/N23)</f>
        <v>0</v>
      </c>
      <c r="U23" s="62" t="n">
        <f aca="false">Engagement_Register!$AU$24</f>
        <v>0</v>
      </c>
      <c r="V23" s="62" t="n">
        <f aca="false">INDEX(Engagements!$E$317:$AB$317,Assumptions!$C$10)</f>
        <v>0</v>
      </c>
      <c r="W23" s="18" t="str">
        <f aca="false">IF(OR(E23="Completed",E23="Stopped"),E23,IF(AND(D23="CAP",Engagement_Register!$AQ$24&gt;Engagement_Register!$AP$24),"Forecast above the cap",IF(K23&gt;0.05*G23,"Forecast over budget","On budget")))</f>
        <v>Forecast above the cap</v>
      </c>
    </row>
    <row r="24" customFormat="false" ht="15" hidden="false" customHeight="false" outlineLevel="0" collapsed="false">
      <c r="A24" s="29" t="s">
        <v>788</v>
      </c>
      <c r="B24" s="29" t="s">
        <v>786</v>
      </c>
      <c r="C24" s="29" t="s">
        <v>762</v>
      </c>
      <c r="D24" s="29" t="s">
        <v>755</v>
      </c>
      <c r="E24" s="18" t="str">
        <f aca="false">Engagement_Register!$F$25</f>
        <v>Contracted</v>
      </c>
      <c r="F24" s="62" t="n">
        <f aca="false">Engagement_Register!$J$25</f>
        <v>373000</v>
      </c>
      <c r="G24" s="67" t="n">
        <f aca="false">Engagement_Register!$K$25</f>
        <v>2077</v>
      </c>
      <c r="H24" s="67" t="n">
        <f aca="false">Engagement_Register!$AJ$25</f>
        <v>0</v>
      </c>
      <c r="I24" s="67" t="n">
        <f aca="false">Engagement_Register!$AK$25</f>
        <v>2077</v>
      </c>
      <c r="J24" s="67" t="n">
        <f aca="false">Engagement_Register!$AM$25</f>
        <v>2077</v>
      </c>
      <c r="K24" s="114" t="n">
        <f aca="false">J24-G24</f>
        <v>0</v>
      </c>
      <c r="L24" s="115" t="n">
        <f aca="false">IF(G24=0,0,K24/G24)</f>
        <v>0</v>
      </c>
      <c r="M24" s="62" t="n">
        <f aca="false">H24*Engagement_Register!$AD$25</f>
        <v>0</v>
      </c>
      <c r="N24" s="62" t="n">
        <f aca="false">Engagement_Register!$AT$25</f>
        <v>0</v>
      </c>
      <c r="O24" s="115" t="n">
        <f aca="false">IF(M24=0,0,N24/M24)</f>
        <v>0</v>
      </c>
      <c r="P24" s="62" t="n">
        <f aca="false">Engagement_Register!$AT$25+SUMIFS(Engagements!$E$324:$AB$324,Assumptions!$E$188:$AB$188,"F")</f>
        <v>373155.200573545</v>
      </c>
      <c r="Q24" s="62" t="n">
        <f aca="false">M24+SUMIFS(Engagements!$E$322:$AB$322,Assumptions!$E$188:$AB$188,"F")</f>
        <v>413514.185032741</v>
      </c>
      <c r="R24" s="115" t="n">
        <f aca="false">IF(Q24=0,0,P24/Q24)</f>
        <v>0.9024</v>
      </c>
      <c r="S24" s="62" t="n">
        <f aca="false">N24-H24*(Engagement_Register!$Y$25*Assumptions!$C$86+Engagement_Register!$Z$25*Assumptions!$C$87+Engagement_Register!$AA$25*Assumptions!$C$88+Engagement_Register!$AB$25*Assumptions!$C$89+Engagement_Register!$AC$25*Assumptions!$C$90)</f>
        <v>0</v>
      </c>
      <c r="T24" s="115" t="n">
        <f aca="false">IF(N24=0,0,S24/N24)</f>
        <v>0</v>
      </c>
      <c r="U24" s="62" t="n">
        <f aca="false">Engagement_Register!$AU$25</f>
        <v>0</v>
      </c>
      <c r="V24" s="62" t="n">
        <f aca="false">INDEX(Engagements!$E$330:$AB$330,Assumptions!$C$10)</f>
        <v>0</v>
      </c>
      <c r="W24" s="18" t="str">
        <f aca="false">IF(OR(E24="Completed",E24="Stopped"),E24,IF(AND(D24="CAP",Engagement_Register!$AQ$25&gt;Engagement_Register!$AP$25),"Forecast above the cap",IF(K24&gt;0.05*G24,"Forecast over budget","On budget")))</f>
        <v>On budget</v>
      </c>
    </row>
    <row r="25" customFormat="false" ht="15" hidden="false" customHeight="false" outlineLevel="0" collapsed="false">
      <c r="A25" s="29" t="s">
        <v>789</v>
      </c>
      <c r="B25" s="29" t="s">
        <v>764</v>
      </c>
      <c r="C25" s="29" t="s">
        <v>754</v>
      </c>
      <c r="D25" s="29" t="s">
        <v>765</v>
      </c>
      <c r="E25" s="18" t="str">
        <f aca="false">Engagement_Register!$F$26</f>
        <v>Contracted</v>
      </c>
      <c r="F25" s="62" t="n">
        <f aca="false">Engagement_Register!$J$26</f>
        <v>140000</v>
      </c>
      <c r="G25" s="67" t="n">
        <f aca="false">Engagement_Register!$K$26</f>
        <v>690</v>
      </c>
      <c r="H25" s="67" t="n">
        <f aca="false">Engagement_Register!$AJ$26</f>
        <v>0</v>
      </c>
      <c r="I25" s="67" t="n">
        <f aca="false">Engagement_Register!$AK$26</f>
        <v>690</v>
      </c>
      <c r="J25" s="67" t="n">
        <f aca="false">Engagement_Register!$AM$26</f>
        <v>724.5</v>
      </c>
      <c r="K25" s="114" t="n">
        <f aca="false">J25-G25</f>
        <v>34.5</v>
      </c>
      <c r="L25" s="115" t="n">
        <f aca="false">IF(G25=0,0,K25/G25)</f>
        <v>0.05</v>
      </c>
      <c r="M25" s="62" t="n">
        <f aca="false">H25*Engagement_Register!$AD$26</f>
        <v>0</v>
      </c>
      <c r="N25" s="62" t="n">
        <f aca="false">Engagement_Register!$AT$26</f>
        <v>0</v>
      </c>
      <c r="O25" s="115" t="n">
        <f aca="false">IF(M25=0,0,N25/M25)</f>
        <v>0</v>
      </c>
      <c r="P25" s="62" t="n">
        <f aca="false">Engagement_Register!$AT$26+SUMIFS(Engagements!$E$340:$AB$340,Assumptions!$E$188:$AB$188,"F")</f>
        <v>140000</v>
      </c>
      <c r="Q25" s="62" t="n">
        <f aca="false">M25+SUMIFS(Engagements!$E$337:$AB$337,Assumptions!$E$188:$AB$188,"F")</f>
        <v>151025.266451613</v>
      </c>
      <c r="R25" s="115" t="n">
        <f aca="false">IF(Q25=0,0,P25/Q25)</f>
        <v>0.926997205761293</v>
      </c>
      <c r="S25" s="62" t="n">
        <f aca="false">N25-H25*(Engagement_Register!$Y$26*Assumptions!$C$86+Engagement_Register!$Z$26*Assumptions!$C$87+Engagement_Register!$AA$26*Assumptions!$C$88+Engagement_Register!$AB$26*Assumptions!$C$89+Engagement_Register!$AC$26*Assumptions!$C$90)</f>
        <v>0</v>
      </c>
      <c r="T25" s="115" t="n">
        <f aca="false">IF(N25=0,0,S25/N25)</f>
        <v>0</v>
      </c>
      <c r="U25" s="62" t="n">
        <f aca="false">Engagement_Register!$AU$26</f>
        <v>0</v>
      </c>
      <c r="V25" s="62" t="n">
        <f aca="false">INDEX(Engagements!$E$345:$AB$345,Assumptions!$C$10)</f>
        <v>0</v>
      </c>
      <c r="W25" s="18" t="str">
        <f aca="false">IF(OR(E25="Completed",E25="Stopped"),E25,IF(AND(D25="CAP",Engagement_Register!$AQ$26&gt;Engagement_Register!$AP$26),"Forecast above the cap",IF(K25&gt;0.05*G25,"Forecast over budget","On budget")))</f>
        <v>On budget</v>
      </c>
    </row>
    <row r="26" customFormat="false" ht="15" hidden="false" customHeight="false" outlineLevel="0" collapsed="false">
      <c r="A26" s="29" t="s">
        <v>790</v>
      </c>
      <c r="B26" s="29" t="s">
        <v>767</v>
      </c>
      <c r="C26" s="29" t="s">
        <v>758</v>
      </c>
      <c r="D26" s="29" t="s">
        <v>765</v>
      </c>
      <c r="E26" s="18" t="str">
        <f aca="false">Engagement_Register!$F$27</f>
        <v>Contracted</v>
      </c>
      <c r="F26" s="62" t="n">
        <f aca="false">Engagement_Register!$J$27</f>
        <v>120000</v>
      </c>
      <c r="G26" s="67" t="n">
        <f aca="false">Engagement_Register!$K$27</f>
        <v>620</v>
      </c>
      <c r="H26" s="67" t="n">
        <f aca="false">Engagement_Register!$AJ$27</f>
        <v>0</v>
      </c>
      <c r="I26" s="67" t="n">
        <f aca="false">Engagement_Register!$AK$27</f>
        <v>620</v>
      </c>
      <c r="J26" s="67" t="n">
        <f aca="false">Engagement_Register!$AM$27</f>
        <v>651</v>
      </c>
      <c r="K26" s="114" t="n">
        <f aca="false">J26-G26</f>
        <v>31</v>
      </c>
      <c r="L26" s="115" t="n">
        <f aca="false">IF(G26=0,0,K26/G26)</f>
        <v>0.05</v>
      </c>
      <c r="M26" s="62" t="n">
        <f aca="false">H26*Engagement_Register!$AD$27</f>
        <v>0</v>
      </c>
      <c r="N26" s="62" t="n">
        <f aca="false">Engagement_Register!$AT$27</f>
        <v>0</v>
      </c>
      <c r="O26" s="115" t="n">
        <f aca="false">IF(M26=0,0,N26/M26)</f>
        <v>0</v>
      </c>
      <c r="P26" s="62" t="n">
        <f aca="false">Engagement_Register!$AT$27+SUMIFS(Engagements!$E$355:$AB$355,Assumptions!$E$188:$AB$188,"F")</f>
        <v>120000</v>
      </c>
      <c r="Q26" s="62" t="n">
        <f aca="false">M26+SUMIFS(Engagements!$E$352:$AB$352,Assumptions!$E$188:$AB$188,"F")</f>
        <v>134496.6</v>
      </c>
      <c r="R26" s="115" t="n">
        <f aca="false">IF(Q26=0,0,P26/Q26)</f>
        <v>0.892215862705823</v>
      </c>
      <c r="S26" s="62" t="n">
        <f aca="false">N26-H26*(Engagement_Register!$Y$27*Assumptions!$C$86+Engagement_Register!$Z$27*Assumptions!$C$87+Engagement_Register!$AA$27*Assumptions!$C$88+Engagement_Register!$AB$27*Assumptions!$C$89+Engagement_Register!$AC$27*Assumptions!$C$90)</f>
        <v>0</v>
      </c>
      <c r="T26" s="115" t="n">
        <f aca="false">IF(N26=0,0,S26/N26)</f>
        <v>0</v>
      </c>
      <c r="U26" s="62" t="n">
        <f aca="false">Engagement_Register!$AU$27</f>
        <v>0</v>
      </c>
      <c r="V26" s="62" t="n">
        <f aca="false">INDEX(Engagements!$E$360:$AB$360,Assumptions!$C$10)</f>
        <v>0</v>
      </c>
      <c r="W26" s="18" t="str">
        <f aca="false">IF(OR(E26="Completed",E26="Stopped"),E26,IF(AND(D26="CAP",Engagement_Register!$AQ$27&gt;Engagement_Register!$AP$27),"Forecast above the cap",IF(K26&gt;0.05*G26,"Forecast over budget","On budget")))</f>
        <v>On budget</v>
      </c>
    </row>
    <row r="27" customFormat="false" ht="15" hidden="false" customHeight="false" outlineLevel="0" collapsed="false">
      <c r="A27" s="29" t="s">
        <v>791</v>
      </c>
      <c r="B27" s="29" t="s">
        <v>761</v>
      </c>
      <c r="C27" s="29" t="s">
        <v>762</v>
      </c>
      <c r="D27" s="29" t="s">
        <v>755</v>
      </c>
      <c r="E27" s="18" t="str">
        <f aca="false">Engagement_Register!$F$28</f>
        <v>Contracted</v>
      </c>
      <c r="F27" s="62" t="n">
        <f aca="false">Engagement_Register!$J$28</f>
        <v>238000</v>
      </c>
      <c r="G27" s="67" t="n">
        <f aca="false">Engagement_Register!$K$28</f>
        <v>1328</v>
      </c>
      <c r="H27" s="67" t="n">
        <f aca="false">Engagement_Register!$AJ$28</f>
        <v>0</v>
      </c>
      <c r="I27" s="67" t="n">
        <f aca="false">Engagement_Register!$AK$28</f>
        <v>1328</v>
      </c>
      <c r="J27" s="67" t="n">
        <f aca="false">Engagement_Register!$AM$28</f>
        <v>1328</v>
      </c>
      <c r="K27" s="114" t="n">
        <f aca="false">J27-G27</f>
        <v>0</v>
      </c>
      <c r="L27" s="115" t="n">
        <f aca="false">IF(G27=0,0,K27/G27)</f>
        <v>0</v>
      </c>
      <c r="M27" s="62" t="n">
        <f aca="false">H27*Engagement_Register!$AD$28</f>
        <v>0</v>
      </c>
      <c r="N27" s="62" t="n">
        <f aca="false">Engagement_Register!$AT$28</f>
        <v>0</v>
      </c>
      <c r="O27" s="115" t="n">
        <f aca="false">IF(M27=0,0,N27/M27)</f>
        <v>0</v>
      </c>
      <c r="P27" s="62" t="n">
        <f aca="false">Engagement_Register!$AT$28+SUMIFS(Engagements!$E$367:$AB$367,Assumptions!$E$188:$AB$188,"F")</f>
        <v>241776.506835436</v>
      </c>
      <c r="Q27" s="62" t="n">
        <f aca="false">M27+SUMIFS(Engagements!$E$365:$AB$365,Assumptions!$E$188:$AB$188,"F")</f>
        <v>268015.194363636</v>
      </c>
      <c r="R27" s="115" t="n">
        <f aca="false">IF(Q27=0,0,P27/Q27)</f>
        <v>0.9021</v>
      </c>
      <c r="S27" s="62" t="n">
        <f aca="false">N27-H27*(Engagement_Register!$Y$28*Assumptions!$C$86+Engagement_Register!$Z$28*Assumptions!$C$87+Engagement_Register!$AA$28*Assumptions!$C$88+Engagement_Register!$AB$28*Assumptions!$C$89+Engagement_Register!$AC$28*Assumptions!$C$90)</f>
        <v>0</v>
      </c>
      <c r="T27" s="115" t="n">
        <f aca="false">IF(N27=0,0,S27/N27)</f>
        <v>0</v>
      </c>
      <c r="U27" s="62" t="n">
        <f aca="false">Engagement_Register!$AU$28</f>
        <v>0</v>
      </c>
      <c r="V27" s="62" t="n">
        <f aca="false">INDEX(Engagements!$E$373:$AB$373,Assumptions!$C$10)</f>
        <v>0</v>
      </c>
      <c r="W27" s="18" t="str">
        <f aca="false">IF(OR(E27="Completed",E27="Stopped"),E27,IF(AND(D27="CAP",Engagement_Register!$AQ$28&gt;Engagement_Register!$AP$28),"Forecast above the cap",IF(K27&gt;0.05*G27,"Forecast over budget","On budget")))</f>
        <v>On budget</v>
      </c>
    </row>
    <row r="28" customFormat="false" ht="15" hidden="false" customHeight="false" outlineLevel="0" collapsed="false">
      <c r="A28" s="29" t="s">
        <v>792</v>
      </c>
      <c r="B28" s="29" t="s">
        <v>753</v>
      </c>
      <c r="C28" s="29" t="s">
        <v>754</v>
      </c>
      <c r="D28" s="29" t="s">
        <v>755</v>
      </c>
      <c r="E28" s="18" t="str">
        <f aca="false">Engagement_Register!$F$29</f>
        <v>Contracted</v>
      </c>
      <c r="F28" s="62" t="n">
        <f aca="false">Engagement_Register!$J$29</f>
        <v>225000</v>
      </c>
      <c r="G28" s="67" t="n">
        <f aca="false">Engagement_Register!$K$29</f>
        <v>1282</v>
      </c>
      <c r="H28" s="67" t="n">
        <f aca="false">Engagement_Register!$AJ$29</f>
        <v>0</v>
      </c>
      <c r="I28" s="67" t="n">
        <f aca="false">Engagement_Register!$AK$29</f>
        <v>1282</v>
      </c>
      <c r="J28" s="67" t="n">
        <f aca="false">Engagement_Register!$AM$29</f>
        <v>1282</v>
      </c>
      <c r="K28" s="114" t="n">
        <f aca="false">J28-G28</f>
        <v>0</v>
      </c>
      <c r="L28" s="115" t="n">
        <f aca="false">IF(G28=0,0,K28/G28)</f>
        <v>0</v>
      </c>
      <c r="M28" s="62" t="n">
        <f aca="false">H28*Engagement_Register!$AD$29</f>
        <v>0</v>
      </c>
      <c r="N28" s="62" t="n">
        <f aca="false">Engagement_Register!$AT$29</f>
        <v>0</v>
      </c>
      <c r="O28" s="115" t="n">
        <f aca="false">IF(M28=0,0,N28/M28)</f>
        <v>0</v>
      </c>
      <c r="P28" s="62" t="n">
        <f aca="false">Engagement_Register!$AT$29+SUMIFS(Engagements!$E$380:$AB$380,Assumptions!$E$188:$AB$188,"F")</f>
        <v>226305.209555703</v>
      </c>
      <c r="Q28" s="62" t="n">
        <f aca="false">M28+SUMIFS(Engagements!$E$378:$AB$378,Assumptions!$E$188:$AB$188,"F")</f>
        <v>256233.253573034</v>
      </c>
      <c r="R28" s="115" t="n">
        <f aca="false">IF(Q28=0,0,P28/Q28)</f>
        <v>0.8832</v>
      </c>
      <c r="S28" s="62" t="n">
        <f aca="false">N28-H28*(Engagement_Register!$Y$29*Assumptions!$C$86+Engagement_Register!$Z$29*Assumptions!$C$87+Engagement_Register!$AA$29*Assumptions!$C$88+Engagement_Register!$AB$29*Assumptions!$C$89+Engagement_Register!$AC$29*Assumptions!$C$90)</f>
        <v>0</v>
      </c>
      <c r="T28" s="115" t="n">
        <f aca="false">IF(N28=0,0,S28/N28)</f>
        <v>0</v>
      </c>
      <c r="U28" s="62" t="n">
        <f aca="false">Engagement_Register!$AU$29</f>
        <v>0</v>
      </c>
      <c r="V28" s="62" t="n">
        <f aca="false">INDEX(Engagements!$E$386:$AB$386,Assumptions!$C$10)</f>
        <v>0</v>
      </c>
      <c r="W28" s="18" t="str">
        <f aca="false">IF(OR(E28="Completed",E28="Stopped"),E28,IF(AND(D28="CAP",Engagement_Register!$AQ$29&gt;Engagement_Register!$AP$29),"Forecast above the cap",IF(K28&gt;0.05*G28,"Forecast over budget","On budget")))</f>
        <v>On budget</v>
      </c>
    </row>
    <row r="29" customFormat="false" ht="15" hidden="false" customHeight="false" outlineLevel="0" collapsed="false">
      <c r="A29" s="79" t="s">
        <v>522</v>
      </c>
      <c r="F29" s="80" t="n">
        <f aca="false">SUM(F6:F28)</f>
        <v>9716000</v>
      </c>
      <c r="G29" s="81" t="n">
        <f aca="false">SUM(G6:G28)</f>
        <v>52640</v>
      </c>
      <c r="H29" s="81" t="n">
        <f aca="false">SUM(H6:H28)</f>
        <v>34066.9</v>
      </c>
      <c r="I29" s="81" t="n">
        <f aca="false">SUM(I6:I28)</f>
        <v>19388.5</v>
      </c>
      <c r="J29" s="81" t="n">
        <f aca="false">SUM(J6:J28)</f>
        <v>53809.205</v>
      </c>
      <c r="K29" s="81" t="n">
        <f aca="false">SUM(K6:K28)</f>
        <v>1169.205</v>
      </c>
      <c r="L29" s="38" t="n">
        <f aca="false">IF(G29=0,0,K29/G29)</f>
        <v>0.0222113411854103</v>
      </c>
      <c r="M29" s="80" t="n">
        <f aca="false">SUM(M6:M28)</f>
        <v>6867402.43</v>
      </c>
      <c r="N29" s="80" t="n">
        <f aca="false">SUM(N6:N28)</f>
        <v>6110252.97</v>
      </c>
      <c r="O29" s="38" t="n">
        <f aca="false">IF(M29=0,0,N29/M29)</f>
        <v>0.889747329107667</v>
      </c>
      <c r="P29" s="80" t="n">
        <f aca="false">SUM(P6:P28)</f>
        <v>9688373.5540667</v>
      </c>
      <c r="Q29" s="80" t="n">
        <f aca="false">SUM(Q6:Q28)</f>
        <v>10859813.4819948</v>
      </c>
      <c r="R29" s="38" t="n">
        <f aca="false">IF(Q29=0,0,P29/Q29)</f>
        <v>0.892130750691962</v>
      </c>
      <c r="S29" s="80" t="n">
        <f aca="false">SUM(S6:S28)</f>
        <v>2649245.6416953</v>
      </c>
      <c r="T29" s="38" t="n">
        <f aca="false">IF(N29=0,0,S29/N29)</f>
        <v>0.433573806960615</v>
      </c>
      <c r="U29" s="80" t="n">
        <f aca="false">SUM(U6:U28)</f>
        <v>5801255.12</v>
      </c>
      <c r="V29" s="80" t="n">
        <f aca="false">SUM(V6:V28)</f>
        <v>336213.23</v>
      </c>
    </row>
    <row r="31" customFormat="false" ht="15" hidden="false" customHeight="false" outlineLevel="0" collapsed="false">
      <c r="A31" s="26" t="s">
        <v>793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1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794</v>
      </c>
    </row>
    <row r="3" customFormat="false" ht="15" hidden="false" customHeight="false" outlineLevel="0" collapsed="false">
      <c r="A3" s="51" t="s">
        <v>795</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796</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797</v>
      </c>
      <c r="B9" s="60" t="s">
        <v>798</v>
      </c>
      <c r="C9" s="66" t="n">
        <f aca="false">SUM(E9:P9)</f>
        <v>8306.9</v>
      </c>
      <c r="D9" s="66" t="n">
        <f aca="false">SUM(Q9:AB9)</f>
        <v>2008</v>
      </c>
      <c r="E9" s="67" t="n">
        <f aca="false">IF(E$5="A",Inputs_Actuals!E9,IF(AND(Assumptions!E$187&gt;=Engagement_Register!$AN$7,Assumptions!E$187&lt;=Engagement_Register!$AH$7,Engagement_Register!$AO$7&gt;0),(Engagement_Register!$AM$7-Engagement_Register!$AJ$7)*Assumptions!E$200/Engagement_Register!$AO$7,0))</f>
        <v>708</v>
      </c>
      <c r="F9" s="67" t="n">
        <f aca="false">IF(F$5="A",Inputs_Actuals!F9,IF(AND(Assumptions!F$187&gt;=Engagement_Register!$AN$7,Assumptions!F$187&lt;=Engagement_Register!$AH$7,Engagement_Register!$AO$7&gt;0),(Engagement_Register!$AM$7-Engagement_Register!$AJ$7)*Assumptions!F$200/Engagement_Register!$AO$7,0))</f>
        <v>622</v>
      </c>
      <c r="G9" s="67" t="n">
        <f aca="false">IF(G$5="A",Inputs_Actuals!G9,IF(AND(Assumptions!G$187&gt;=Engagement_Register!$AN$7,Assumptions!G$187&lt;=Engagement_Register!$AH$7,Engagement_Register!$AO$7&gt;0),(Engagement_Register!$AM$7-Engagement_Register!$AJ$7)*Assumptions!G$200/Engagement_Register!$AO$7,0))</f>
        <v>749.6</v>
      </c>
      <c r="H9" s="67" t="n">
        <f aca="false">IF(H$5="A",Inputs_Actuals!H9,IF(AND(Assumptions!H$187&gt;=Engagement_Register!$AN$7,Assumptions!H$187&lt;=Engagement_Register!$AH$7,Engagement_Register!$AO$7&gt;0),(Engagement_Register!$AM$7-Engagement_Register!$AJ$7)*Assumptions!H$200/Engagement_Register!$AO$7,0))</f>
        <v>562.6</v>
      </c>
      <c r="I9" s="67" t="n">
        <f aca="false">IF(I$5="A",Inputs_Actuals!I9,IF(AND(Assumptions!I$187&gt;=Engagement_Register!$AN$7,Assumptions!I$187&lt;=Engagement_Register!$AH$7,Engagement_Register!$AO$7&gt;0),(Engagement_Register!$AM$7-Engagement_Register!$AJ$7)*Assumptions!I$200/Engagement_Register!$AO$7,0))</f>
        <v>615.2</v>
      </c>
      <c r="J9" s="67" t="n">
        <f aca="false">IF(J$5="A",Inputs_Actuals!J9,IF(AND(Assumptions!J$187&gt;=Engagement_Register!$AN$7,Assumptions!J$187&lt;=Engagement_Register!$AH$7,Engagement_Register!$AO$7&gt;0),(Engagement_Register!$AM$7-Engagement_Register!$AJ$7)*Assumptions!J$200/Engagement_Register!$AO$7,0))</f>
        <v>696.5</v>
      </c>
      <c r="K9" s="67" t="n">
        <f aca="false">IF(K$5="A",Inputs_Actuals!K9,IF(AND(Assumptions!K$187&gt;=Engagement_Register!$AN$7,Assumptions!K$187&lt;=Engagement_Register!$AH$7,Engagement_Register!$AO$7&gt;0),(Engagement_Register!$AM$7-Engagement_Register!$AJ$7)*Assumptions!K$200/Engagement_Register!$AO$7,0))</f>
        <v>801.1</v>
      </c>
      <c r="L9" s="67" t="n">
        <f aca="false">IF(L$5="A",Inputs_Actuals!L9,IF(AND(Assumptions!L$187&gt;=Engagement_Register!$AN$7,Assumptions!L$187&lt;=Engagement_Register!$AH$7,Engagement_Register!$AO$7&gt;0),(Engagement_Register!$AM$7-Engagement_Register!$AJ$7)*Assumptions!L$200/Engagement_Register!$AO$7,0))</f>
        <v>575.9</v>
      </c>
      <c r="M9" s="67" t="n">
        <f aca="false">IF(M$5="A",Inputs_Actuals!M9,IF(AND(Assumptions!M$187&gt;=Engagement_Register!$AN$7,Assumptions!M$187&lt;=Engagement_Register!$AH$7,Engagement_Register!$AO$7&gt;0),(Engagement_Register!$AM$7-Engagement_Register!$AJ$7)*Assumptions!M$200/Engagement_Register!$AO$7,0))</f>
        <v>764</v>
      </c>
      <c r="N9" s="67" t="n">
        <f aca="false">IF(N$5="A",Inputs_Actuals!N9,IF(AND(Assumptions!N$187&gt;=Engagement_Register!$AN$7,Assumptions!N$187&lt;=Engagement_Register!$AH$7,Engagement_Register!$AO$7&gt;0),(Engagement_Register!$AM$7-Engagement_Register!$AJ$7)*Assumptions!N$200/Engagement_Register!$AO$7,0))</f>
        <v>736</v>
      </c>
      <c r="O9" s="67" t="n">
        <f aca="false">IF(O$5="A",Inputs_Actuals!O9,IF(AND(Assumptions!O$187&gt;=Engagement_Register!$AN$7,Assumptions!O$187&lt;=Engagement_Register!$AH$7,Engagement_Register!$AO$7&gt;0),(Engagement_Register!$AM$7-Engagement_Register!$AJ$7)*Assumptions!O$200/Engagement_Register!$AO$7,0))</f>
        <v>728</v>
      </c>
      <c r="P9" s="67" t="n">
        <f aca="false">IF(P$5="A",Inputs_Actuals!P9,IF(AND(Assumptions!P$187&gt;=Engagement_Register!$AN$7,Assumptions!P$187&lt;=Engagement_Register!$AH$7,Engagement_Register!$AO$7&gt;0),(Engagement_Register!$AM$7-Engagement_Register!$AJ$7)*Assumptions!P$200/Engagement_Register!$AO$7,0))</f>
        <v>748</v>
      </c>
      <c r="Q9" s="67" t="n">
        <f aca="false">IF(Q$5="A",Inputs_Actuals!Q9,IF(AND(Assumptions!Q$187&gt;=Engagement_Register!$AN$7,Assumptions!Q$187&lt;=Engagement_Register!$AH$7,Engagement_Register!$AO$7&gt;0),(Engagement_Register!$AM$7-Engagement_Register!$AJ$7)*Assumptions!Q$200/Engagement_Register!$AO$7,0))</f>
        <v>640</v>
      </c>
      <c r="R9" s="67" t="n">
        <f aca="false">IF(R$5="A",Inputs_Actuals!R9,IF(AND(Assumptions!R$187&gt;=Engagement_Register!$AN$7,Assumptions!R$187&lt;=Engagement_Register!$AH$7,Engagement_Register!$AO$7&gt;0),(Engagement_Register!$AM$7-Engagement_Register!$AJ$7)*Assumptions!R$200/Engagement_Register!$AO$7,0))</f>
        <v>660</v>
      </c>
      <c r="S9" s="67" t="n">
        <f aca="false">IF(S$5="A",Inputs_Actuals!S9,IF(AND(Assumptions!S$187&gt;=Engagement_Register!$AN$7,Assumptions!S$187&lt;=Engagement_Register!$AH$7,Engagement_Register!$AO$7&gt;0),(Engagement_Register!$AM$7-Engagement_Register!$AJ$7)*Assumptions!S$200/Engagement_Register!$AO$7,0))</f>
        <v>708</v>
      </c>
      <c r="T9" s="67" t="n">
        <f aca="false">IF(T$5="A",Inputs_Actuals!T9,IF(AND(Assumptions!T$187&gt;=Engagement_Register!$AN$7,Assumptions!T$187&lt;=Engagement_Register!$AH$7,Engagement_Register!$AO$7&gt;0),(Engagement_Register!$AM$7-Engagement_Register!$AJ$7)*Assumptions!T$200/Engagement_Register!$AO$7,0))</f>
        <v>0</v>
      </c>
      <c r="U9" s="67" t="n">
        <f aca="false">IF(U$5="A",Inputs_Actuals!U9,IF(AND(Assumptions!U$187&gt;=Engagement_Register!$AN$7,Assumptions!U$187&lt;=Engagement_Register!$AH$7,Engagement_Register!$AO$7&gt;0),(Engagement_Register!$AM$7-Engagement_Register!$AJ$7)*Assumptions!U$200/Engagement_Register!$AO$7,0))</f>
        <v>0</v>
      </c>
      <c r="V9" s="67" t="n">
        <f aca="false">IF(V$5="A",Inputs_Actuals!V9,IF(AND(Assumptions!V$187&gt;=Engagement_Register!$AN$7,Assumptions!V$187&lt;=Engagement_Register!$AH$7,Engagement_Register!$AO$7&gt;0),(Engagement_Register!$AM$7-Engagement_Register!$AJ$7)*Assumptions!V$200/Engagement_Register!$AO$7,0))</f>
        <v>0</v>
      </c>
      <c r="W9" s="67" t="n">
        <f aca="false">IF(W$5="A",Inputs_Actuals!W9,IF(AND(Assumptions!W$187&gt;=Engagement_Register!$AN$7,Assumptions!W$187&lt;=Engagement_Register!$AH$7,Engagement_Register!$AO$7&gt;0),(Engagement_Register!$AM$7-Engagement_Register!$AJ$7)*Assumptions!W$200/Engagement_Register!$AO$7,0))</f>
        <v>0</v>
      </c>
      <c r="X9" s="67" t="n">
        <f aca="false">IF(X$5="A",Inputs_Actuals!X9,IF(AND(Assumptions!X$187&gt;=Engagement_Register!$AN$7,Assumptions!X$187&lt;=Engagement_Register!$AH$7,Engagement_Register!$AO$7&gt;0),(Engagement_Register!$AM$7-Engagement_Register!$AJ$7)*Assumptions!X$200/Engagement_Register!$AO$7,0))</f>
        <v>0</v>
      </c>
      <c r="Y9" s="67" t="n">
        <f aca="false">IF(Y$5="A",Inputs_Actuals!Y9,IF(AND(Assumptions!Y$187&gt;=Engagement_Register!$AN$7,Assumptions!Y$187&lt;=Engagement_Register!$AH$7,Engagement_Register!$AO$7&gt;0),(Engagement_Register!$AM$7-Engagement_Register!$AJ$7)*Assumptions!Y$200/Engagement_Register!$AO$7,0))</f>
        <v>0</v>
      </c>
      <c r="Z9" s="67" t="n">
        <f aca="false">IF(Z$5="A",Inputs_Actuals!Z9,IF(AND(Assumptions!Z$187&gt;=Engagement_Register!$AN$7,Assumptions!Z$187&lt;=Engagement_Register!$AH$7,Engagement_Register!$AO$7&gt;0),(Engagement_Register!$AM$7-Engagement_Register!$AJ$7)*Assumptions!Z$200/Engagement_Register!$AO$7,0))</f>
        <v>0</v>
      </c>
      <c r="AA9" s="67" t="n">
        <f aca="false">IF(AA$5="A",Inputs_Actuals!AA9,IF(AND(Assumptions!AA$187&gt;=Engagement_Register!$AN$7,Assumptions!AA$187&lt;=Engagement_Register!$AH$7,Engagement_Register!$AO$7&gt;0),(Engagement_Register!$AM$7-Engagement_Register!$AJ$7)*Assumptions!AA$200/Engagement_Register!$AO$7,0))</f>
        <v>0</v>
      </c>
      <c r="AB9" s="67" t="n">
        <f aca="false">IF(AB$5="A",Inputs_Actuals!AB9,IF(AND(Assumptions!AB$187&gt;=Engagement_Register!$AN$7,Assumptions!AB$187&lt;=Engagement_Register!$AH$7,Engagement_Register!$AO$7&gt;0),(Engagement_Register!$AM$7-Engagement_Register!$AJ$7)*Assumptions!AB$200/Engagement_Register!$AO$7,0))</f>
        <v>0</v>
      </c>
    </row>
    <row r="10" customFormat="false" ht="15" hidden="false" customHeight="false" outlineLevel="0" collapsed="false">
      <c r="A10" s="29" t="s">
        <v>799</v>
      </c>
      <c r="B10" s="60" t="s">
        <v>798</v>
      </c>
      <c r="C10" s="66" t="n">
        <f aca="false">SUM(E10:P10)</f>
        <v>2700.05</v>
      </c>
      <c r="D10" s="66" t="n">
        <f aca="false">SUM(Q10:AB10)</f>
        <v>0</v>
      </c>
      <c r="E10" s="67" t="n">
        <f aca="false">IF(E$5="A",Inputs_Actuals!E15,IF(AND(Assumptions!E$187&gt;=Engagement_Register!$AN$8,Assumptions!E$187&lt;=Engagement_Register!$AH$8,Engagement_Register!$AO$8&gt;0),(Engagement_Register!$AM$8-Engagement_Register!$AJ$8)*Assumptions!E$200/Engagement_Register!$AO$8,0))</f>
        <v>229.7</v>
      </c>
      <c r="F10" s="67" t="n">
        <f aca="false">IF(F$5="A",Inputs_Actuals!F15,IF(AND(Assumptions!F$187&gt;=Engagement_Register!$AN$8,Assumptions!F$187&lt;=Engagement_Register!$AH$8,Engagement_Register!$AO$8&gt;0),(Engagement_Register!$AM$8-Engagement_Register!$AJ$8)*Assumptions!F$200/Engagement_Register!$AO$8,0))</f>
        <v>252.9</v>
      </c>
      <c r="G10" s="67" t="n">
        <f aca="false">IF(G$5="A",Inputs_Actuals!G15,IF(AND(Assumptions!G$187&gt;=Engagement_Register!$AN$8,Assumptions!G$187&lt;=Engagement_Register!$AH$8,Engagement_Register!$AO$8&gt;0),(Engagement_Register!$AM$8-Engagement_Register!$AJ$8)*Assumptions!G$200/Engagement_Register!$AO$8,0))</f>
        <v>289.8</v>
      </c>
      <c r="H10" s="67" t="n">
        <f aca="false">IF(H$5="A",Inputs_Actuals!H15,IF(AND(Assumptions!H$187&gt;=Engagement_Register!$AN$8,Assumptions!H$187&lt;=Engagement_Register!$AH$8,Engagement_Register!$AO$8&gt;0),(Engagement_Register!$AM$8-Engagement_Register!$AJ$8)*Assumptions!H$200/Engagement_Register!$AO$8,0))</f>
        <v>290.5</v>
      </c>
      <c r="I10" s="67" t="n">
        <f aca="false">IF(I$5="A",Inputs_Actuals!I15,IF(AND(Assumptions!I$187&gt;=Engagement_Register!$AN$8,Assumptions!I$187&lt;=Engagement_Register!$AH$8,Engagement_Register!$AO$8&gt;0),(Engagement_Register!$AM$8-Engagement_Register!$AJ$8)*Assumptions!I$200/Engagement_Register!$AO$8,0))</f>
        <v>253.3</v>
      </c>
      <c r="J10" s="67" t="n">
        <f aca="false">IF(J$5="A",Inputs_Actuals!J15,IF(AND(Assumptions!J$187&gt;=Engagement_Register!$AN$8,Assumptions!J$187&lt;=Engagement_Register!$AH$8,Engagement_Register!$AO$8&gt;0),(Engagement_Register!$AM$8-Engagement_Register!$AJ$8)*Assumptions!J$200/Engagement_Register!$AO$8,0))</f>
        <v>334.5</v>
      </c>
      <c r="K10" s="67" t="n">
        <f aca="false">IF(K$5="A",Inputs_Actuals!K15,IF(AND(Assumptions!K$187&gt;=Engagement_Register!$AN$8,Assumptions!K$187&lt;=Engagement_Register!$AH$8,Engagement_Register!$AO$8&gt;0),(Engagement_Register!$AM$8-Engagement_Register!$AJ$8)*Assumptions!K$200/Engagement_Register!$AO$8,0))</f>
        <v>362.2</v>
      </c>
      <c r="L10" s="67" t="n">
        <f aca="false">IF(L$5="A",Inputs_Actuals!L15,IF(AND(Assumptions!L$187&gt;=Engagement_Register!$AN$8,Assumptions!L$187&lt;=Engagement_Register!$AH$8,Engagement_Register!$AO$8&gt;0),(Engagement_Register!$AM$8-Engagement_Register!$AJ$8)*Assumptions!L$200/Engagement_Register!$AO$8,0))</f>
        <v>299.7</v>
      </c>
      <c r="M10" s="67" t="n">
        <f aca="false">IF(M$5="A",Inputs_Actuals!M15,IF(AND(Assumptions!M$187&gt;=Engagement_Register!$AN$8,Assumptions!M$187&lt;=Engagement_Register!$AH$8,Engagement_Register!$AO$8&gt;0),(Engagement_Register!$AM$8-Engagement_Register!$AJ$8)*Assumptions!M$200/Engagement_Register!$AO$8,0))</f>
        <v>387.45</v>
      </c>
      <c r="N10" s="67" t="n">
        <f aca="false">IF(N$5="A",Inputs_Actuals!N15,IF(AND(Assumptions!N$187&gt;=Engagement_Register!$AN$8,Assumptions!N$187&lt;=Engagement_Register!$AH$8,Engagement_Register!$AO$8&gt;0),(Engagement_Register!$AM$8-Engagement_Register!$AJ$8)*Assumptions!N$200/Engagement_Register!$AO$8,0))</f>
        <v>0</v>
      </c>
      <c r="O10" s="67" t="n">
        <f aca="false">IF(O$5="A",Inputs_Actuals!O15,IF(AND(Assumptions!O$187&gt;=Engagement_Register!$AN$8,Assumptions!O$187&lt;=Engagement_Register!$AH$8,Engagement_Register!$AO$8&gt;0),(Engagement_Register!$AM$8-Engagement_Register!$AJ$8)*Assumptions!O$200/Engagement_Register!$AO$8,0))</f>
        <v>0</v>
      </c>
      <c r="P10" s="67" t="n">
        <f aca="false">IF(P$5="A",Inputs_Actuals!P15,IF(AND(Assumptions!P$187&gt;=Engagement_Register!$AN$8,Assumptions!P$187&lt;=Engagement_Register!$AH$8,Engagement_Register!$AO$8&gt;0),(Engagement_Register!$AM$8-Engagement_Register!$AJ$8)*Assumptions!P$200/Engagement_Register!$AO$8,0))</f>
        <v>0</v>
      </c>
      <c r="Q10" s="67" t="n">
        <f aca="false">IF(Q$5="A",Inputs_Actuals!Q15,IF(AND(Assumptions!Q$187&gt;=Engagement_Register!$AN$8,Assumptions!Q$187&lt;=Engagement_Register!$AH$8,Engagement_Register!$AO$8&gt;0),(Engagement_Register!$AM$8-Engagement_Register!$AJ$8)*Assumptions!Q$200/Engagement_Register!$AO$8,0))</f>
        <v>0</v>
      </c>
      <c r="R10" s="67" t="n">
        <f aca="false">IF(R$5="A",Inputs_Actuals!R15,IF(AND(Assumptions!R$187&gt;=Engagement_Register!$AN$8,Assumptions!R$187&lt;=Engagement_Register!$AH$8,Engagement_Register!$AO$8&gt;0),(Engagement_Register!$AM$8-Engagement_Register!$AJ$8)*Assumptions!R$200/Engagement_Register!$AO$8,0))</f>
        <v>0</v>
      </c>
      <c r="S10" s="67" t="n">
        <f aca="false">IF(S$5="A",Inputs_Actuals!S15,IF(AND(Assumptions!S$187&gt;=Engagement_Register!$AN$8,Assumptions!S$187&lt;=Engagement_Register!$AH$8,Engagement_Register!$AO$8&gt;0),(Engagement_Register!$AM$8-Engagement_Register!$AJ$8)*Assumptions!S$200/Engagement_Register!$AO$8,0))</f>
        <v>0</v>
      </c>
      <c r="T10" s="67" t="n">
        <f aca="false">IF(T$5="A",Inputs_Actuals!T15,IF(AND(Assumptions!T$187&gt;=Engagement_Register!$AN$8,Assumptions!T$187&lt;=Engagement_Register!$AH$8,Engagement_Register!$AO$8&gt;0),(Engagement_Register!$AM$8-Engagement_Register!$AJ$8)*Assumptions!T$200/Engagement_Register!$AO$8,0))</f>
        <v>0</v>
      </c>
      <c r="U10" s="67" t="n">
        <f aca="false">IF(U$5="A",Inputs_Actuals!U15,IF(AND(Assumptions!U$187&gt;=Engagement_Register!$AN$8,Assumptions!U$187&lt;=Engagement_Register!$AH$8,Engagement_Register!$AO$8&gt;0),(Engagement_Register!$AM$8-Engagement_Register!$AJ$8)*Assumptions!U$200/Engagement_Register!$AO$8,0))</f>
        <v>0</v>
      </c>
      <c r="V10" s="67" t="n">
        <f aca="false">IF(V$5="A",Inputs_Actuals!V15,IF(AND(Assumptions!V$187&gt;=Engagement_Register!$AN$8,Assumptions!V$187&lt;=Engagement_Register!$AH$8,Engagement_Register!$AO$8&gt;0),(Engagement_Register!$AM$8-Engagement_Register!$AJ$8)*Assumptions!V$200/Engagement_Register!$AO$8,0))</f>
        <v>0</v>
      </c>
      <c r="W10" s="67" t="n">
        <f aca="false">IF(W$5="A",Inputs_Actuals!W15,IF(AND(Assumptions!W$187&gt;=Engagement_Register!$AN$8,Assumptions!W$187&lt;=Engagement_Register!$AH$8,Engagement_Register!$AO$8&gt;0),(Engagement_Register!$AM$8-Engagement_Register!$AJ$8)*Assumptions!W$200/Engagement_Register!$AO$8,0))</f>
        <v>0</v>
      </c>
      <c r="X10" s="67" t="n">
        <f aca="false">IF(X$5="A",Inputs_Actuals!X15,IF(AND(Assumptions!X$187&gt;=Engagement_Register!$AN$8,Assumptions!X$187&lt;=Engagement_Register!$AH$8,Engagement_Register!$AO$8&gt;0),(Engagement_Register!$AM$8-Engagement_Register!$AJ$8)*Assumptions!X$200/Engagement_Register!$AO$8,0))</f>
        <v>0</v>
      </c>
      <c r="Y10" s="67" t="n">
        <f aca="false">IF(Y$5="A",Inputs_Actuals!Y15,IF(AND(Assumptions!Y$187&gt;=Engagement_Register!$AN$8,Assumptions!Y$187&lt;=Engagement_Register!$AH$8,Engagement_Register!$AO$8&gt;0),(Engagement_Register!$AM$8-Engagement_Register!$AJ$8)*Assumptions!Y$200/Engagement_Register!$AO$8,0))</f>
        <v>0</v>
      </c>
      <c r="Z10" s="67" t="n">
        <f aca="false">IF(Z$5="A",Inputs_Actuals!Z15,IF(AND(Assumptions!Z$187&gt;=Engagement_Register!$AN$8,Assumptions!Z$187&lt;=Engagement_Register!$AH$8,Engagement_Register!$AO$8&gt;0),(Engagement_Register!$AM$8-Engagement_Register!$AJ$8)*Assumptions!Z$200/Engagement_Register!$AO$8,0))</f>
        <v>0</v>
      </c>
      <c r="AA10" s="67" t="n">
        <f aca="false">IF(AA$5="A",Inputs_Actuals!AA15,IF(AND(Assumptions!AA$187&gt;=Engagement_Register!$AN$8,Assumptions!AA$187&lt;=Engagement_Register!$AH$8,Engagement_Register!$AO$8&gt;0),(Engagement_Register!$AM$8-Engagement_Register!$AJ$8)*Assumptions!AA$200/Engagement_Register!$AO$8,0))</f>
        <v>0</v>
      </c>
      <c r="AB10" s="67" t="n">
        <f aca="false">IF(AB$5="A",Inputs_Actuals!AB15,IF(AND(Assumptions!AB$187&gt;=Engagement_Register!$AN$8,Assumptions!AB$187&lt;=Engagement_Register!$AH$8,Engagement_Register!$AO$8&gt;0),(Engagement_Register!$AM$8-Engagement_Register!$AJ$8)*Assumptions!AB$200/Engagement_Register!$AO$8,0))</f>
        <v>0</v>
      </c>
    </row>
    <row r="11" customFormat="false" ht="15" hidden="false" customHeight="false" outlineLevel="0" collapsed="false">
      <c r="A11" s="29" t="s">
        <v>800</v>
      </c>
      <c r="B11" s="60" t="s">
        <v>798</v>
      </c>
      <c r="C11" s="66" t="n">
        <f aca="false">SUM(E11:P11)</f>
        <v>2917.4</v>
      </c>
      <c r="D11" s="66" t="n">
        <f aca="false">SUM(Q11:AB11)</f>
        <v>0</v>
      </c>
      <c r="E11" s="67" t="n">
        <f aca="false">IF(E$5="A",Inputs_Actuals!E21,IF(AND(Assumptions!E$187&gt;=Engagement_Register!$AN$9,Assumptions!E$187&lt;=Engagement_Register!$AH$9,Engagement_Register!$AO$9&gt;0),(Engagement_Register!$AM$9-Engagement_Register!$AJ$9)*Assumptions!E$200/Engagement_Register!$AO$9,0))</f>
        <v>475.7</v>
      </c>
      <c r="F11" s="67" t="n">
        <f aca="false">IF(F$5="A",Inputs_Actuals!F21,IF(AND(Assumptions!F$187&gt;=Engagement_Register!$AN$9,Assumptions!F$187&lt;=Engagement_Register!$AH$9,Engagement_Register!$AO$9&gt;0),(Engagement_Register!$AM$9-Engagement_Register!$AJ$9)*Assumptions!F$200/Engagement_Register!$AO$9,0))</f>
        <v>486.4</v>
      </c>
      <c r="G11" s="67" t="n">
        <f aca="false">IF(G$5="A",Inputs_Actuals!G21,IF(AND(Assumptions!G$187&gt;=Engagement_Register!$AN$9,Assumptions!G$187&lt;=Engagement_Register!$AH$9,Engagement_Register!$AO$9&gt;0),(Engagement_Register!$AM$9-Engagement_Register!$AJ$9)*Assumptions!G$200/Engagement_Register!$AO$9,0))</f>
        <v>513.4</v>
      </c>
      <c r="H11" s="67" t="n">
        <f aca="false">IF(H$5="A",Inputs_Actuals!H21,IF(AND(Assumptions!H$187&gt;=Engagement_Register!$AN$9,Assumptions!H$187&lt;=Engagement_Register!$AH$9,Engagement_Register!$AO$9&gt;0),(Engagement_Register!$AM$9-Engagement_Register!$AJ$9)*Assumptions!H$200/Engagement_Register!$AO$9,0))</f>
        <v>497.8</v>
      </c>
      <c r="I11" s="67" t="n">
        <f aca="false">IF(I$5="A",Inputs_Actuals!I21,IF(AND(Assumptions!I$187&gt;=Engagement_Register!$AN$9,Assumptions!I$187&lt;=Engagement_Register!$AH$9,Engagement_Register!$AO$9&gt;0),(Engagement_Register!$AM$9-Engagement_Register!$AJ$9)*Assumptions!I$200/Engagement_Register!$AO$9,0))</f>
        <v>415.3</v>
      </c>
      <c r="J11" s="67" t="n">
        <f aca="false">IF(J$5="A",Inputs_Actuals!J21,IF(AND(Assumptions!J$187&gt;=Engagement_Register!$AN$9,Assumptions!J$187&lt;=Engagement_Register!$AH$9,Engagement_Register!$AO$9&gt;0),(Engagement_Register!$AM$9-Engagement_Register!$AJ$9)*Assumptions!J$200/Engagement_Register!$AO$9,0))</f>
        <v>528.8</v>
      </c>
      <c r="K11" s="67" t="n">
        <f aca="false">IF(K$5="A",Inputs_Actuals!K21,IF(AND(Assumptions!K$187&gt;=Engagement_Register!$AN$9,Assumptions!K$187&lt;=Engagement_Register!$AH$9,Engagement_Register!$AO$9&gt;0),(Engagement_Register!$AM$9-Engagement_Register!$AJ$9)*Assumptions!K$200/Engagement_Register!$AO$9,0))</f>
        <v>0</v>
      </c>
      <c r="L11" s="67" t="n">
        <f aca="false">IF(L$5="A",Inputs_Actuals!L21,IF(AND(Assumptions!L$187&gt;=Engagement_Register!$AN$9,Assumptions!L$187&lt;=Engagement_Register!$AH$9,Engagement_Register!$AO$9&gt;0),(Engagement_Register!$AM$9-Engagement_Register!$AJ$9)*Assumptions!L$200/Engagement_Register!$AO$9,0))</f>
        <v>0</v>
      </c>
      <c r="M11" s="67" t="n">
        <f aca="false">IF(M$5="A",Inputs_Actuals!M21,IF(AND(Assumptions!M$187&gt;=Engagement_Register!$AN$9,Assumptions!M$187&lt;=Engagement_Register!$AH$9,Engagement_Register!$AO$9&gt;0),(Engagement_Register!$AM$9-Engagement_Register!$AJ$9)*Assumptions!M$200/Engagement_Register!$AO$9,0))</f>
        <v>0</v>
      </c>
      <c r="N11" s="67" t="n">
        <f aca="false">IF(N$5="A",Inputs_Actuals!N21,IF(AND(Assumptions!N$187&gt;=Engagement_Register!$AN$9,Assumptions!N$187&lt;=Engagement_Register!$AH$9,Engagement_Register!$AO$9&gt;0),(Engagement_Register!$AM$9-Engagement_Register!$AJ$9)*Assumptions!N$200/Engagement_Register!$AO$9,0))</f>
        <v>0</v>
      </c>
      <c r="O11" s="67" t="n">
        <f aca="false">IF(O$5="A",Inputs_Actuals!O21,IF(AND(Assumptions!O$187&gt;=Engagement_Register!$AN$9,Assumptions!O$187&lt;=Engagement_Register!$AH$9,Engagement_Register!$AO$9&gt;0),(Engagement_Register!$AM$9-Engagement_Register!$AJ$9)*Assumptions!O$200/Engagement_Register!$AO$9,0))</f>
        <v>0</v>
      </c>
      <c r="P11" s="67" t="n">
        <f aca="false">IF(P$5="A",Inputs_Actuals!P21,IF(AND(Assumptions!P$187&gt;=Engagement_Register!$AN$9,Assumptions!P$187&lt;=Engagement_Register!$AH$9,Engagement_Register!$AO$9&gt;0),(Engagement_Register!$AM$9-Engagement_Register!$AJ$9)*Assumptions!P$200/Engagement_Register!$AO$9,0))</f>
        <v>0</v>
      </c>
      <c r="Q11" s="67" t="n">
        <f aca="false">IF(Q$5="A",Inputs_Actuals!Q21,IF(AND(Assumptions!Q$187&gt;=Engagement_Register!$AN$9,Assumptions!Q$187&lt;=Engagement_Register!$AH$9,Engagement_Register!$AO$9&gt;0),(Engagement_Register!$AM$9-Engagement_Register!$AJ$9)*Assumptions!Q$200/Engagement_Register!$AO$9,0))</f>
        <v>0</v>
      </c>
      <c r="R11" s="67" t="n">
        <f aca="false">IF(R$5="A",Inputs_Actuals!R21,IF(AND(Assumptions!R$187&gt;=Engagement_Register!$AN$9,Assumptions!R$187&lt;=Engagement_Register!$AH$9,Engagement_Register!$AO$9&gt;0),(Engagement_Register!$AM$9-Engagement_Register!$AJ$9)*Assumptions!R$200/Engagement_Register!$AO$9,0))</f>
        <v>0</v>
      </c>
      <c r="S11" s="67" t="n">
        <f aca="false">IF(S$5="A",Inputs_Actuals!S21,IF(AND(Assumptions!S$187&gt;=Engagement_Register!$AN$9,Assumptions!S$187&lt;=Engagement_Register!$AH$9,Engagement_Register!$AO$9&gt;0),(Engagement_Register!$AM$9-Engagement_Register!$AJ$9)*Assumptions!S$200/Engagement_Register!$AO$9,0))</f>
        <v>0</v>
      </c>
      <c r="T11" s="67" t="n">
        <f aca="false">IF(T$5="A",Inputs_Actuals!T21,IF(AND(Assumptions!T$187&gt;=Engagement_Register!$AN$9,Assumptions!T$187&lt;=Engagement_Register!$AH$9,Engagement_Register!$AO$9&gt;0),(Engagement_Register!$AM$9-Engagement_Register!$AJ$9)*Assumptions!T$200/Engagement_Register!$AO$9,0))</f>
        <v>0</v>
      </c>
      <c r="U11" s="67" t="n">
        <f aca="false">IF(U$5="A",Inputs_Actuals!U21,IF(AND(Assumptions!U$187&gt;=Engagement_Register!$AN$9,Assumptions!U$187&lt;=Engagement_Register!$AH$9,Engagement_Register!$AO$9&gt;0),(Engagement_Register!$AM$9-Engagement_Register!$AJ$9)*Assumptions!U$200/Engagement_Register!$AO$9,0))</f>
        <v>0</v>
      </c>
      <c r="V11" s="67" t="n">
        <f aca="false">IF(V$5="A",Inputs_Actuals!V21,IF(AND(Assumptions!V$187&gt;=Engagement_Register!$AN$9,Assumptions!V$187&lt;=Engagement_Register!$AH$9,Engagement_Register!$AO$9&gt;0),(Engagement_Register!$AM$9-Engagement_Register!$AJ$9)*Assumptions!V$200/Engagement_Register!$AO$9,0))</f>
        <v>0</v>
      </c>
      <c r="W11" s="67" t="n">
        <f aca="false">IF(W$5="A",Inputs_Actuals!W21,IF(AND(Assumptions!W$187&gt;=Engagement_Register!$AN$9,Assumptions!W$187&lt;=Engagement_Register!$AH$9,Engagement_Register!$AO$9&gt;0),(Engagement_Register!$AM$9-Engagement_Register!$AJ$9)*Assumptions!W$200/Engagement_Register!$AO$9,0))</f>
        <v>0</v>
      </c>
      <c r="X11" s="67" t="n">
        <f aca="false">IF(X$5="A",Inputs_Actuals!X21,IF(AND(Assumptions!X$187&gt;=Engagement_Register!$AN$9,Assumptions!X$187&lt;=Engagement_Register!$AH$9,Engagement_Register!$AO$9&gt;0),(Engagement_Register!$AM$9-Engagement_Register!$AJ$9)*Assumptions!X$200/Engagement_Register!$AO$9,0))</f>
        <v>0</v>
      </c>
      <c r="Y11" s="67" t="n">
        <f aca="false">IF(Y$5="A",Inputs_Actuals!Y21,IF(AND(Assumptions!Y$187&gt;=Engagement_Register!$AN$9,Assumptions!Y$187&lt;=Engagement_Register!$AH$9,Engagement_Register!$AO$9&gt;0),(Engagement_Register!$AM$9-Engagement_Register!$AJ$9)*Assumptions!Y$200/Engagement_Register!$AO$9,0))</f>
        <v>0</v>
      </c>
      <c r="Z11" s="67" t="n">
        <f aca="false">IF(Z$5="A",Inputs_Actuals!Z21,IF(AND(Assumptions!Z$187&gt;=Engagement_Register!$AN$9,Assumptions!Z$187&lt;=Engagement_Register!$AH$9,Engagement_Register!$AO$9&gt;0),(Engagement_Register!$AM$9-Engagement_Register!$AJ$9)*Assumptions!Z$200/Engagement_Register!$AO$9,0))</f>
        <v>0</v>
      </c>
      <c r="AA11" s="67" t="n">
        <f aca="false">IF(AA$5="A",Inputs_Actuals!AA21,IF(AND(Assumptions!AA$187&gt;=Engagement_Register!$AN$9,Assumptions!AA$187&lt;=Engagement_Register!$AH$9,Engagement_Register!$AO$9&gt;0),(Engagement_Register!$AM$9-Engagement_Register!$AJ$9)*Assumptions!AA$200/Engagement_Register!$AO$9,0))</f>
        <v>0</v>
      </c>
      <c r="AB11" s="67" t="n">
        <f aca="false">IF(AB$5="A",Inputs_Actuals!AB21,IF(AND(Assumptions!AB$187&gt;=Engagement_Register!$AN$9,Assumptions!AB$187&lt;=Engagement_Register!$AH$9,Engagement_Register!$AO$9&gt;0),(Engagement_Register!$AM$9-Engagement_Register!$AJ$9)*Assumptions!AB$200/Engagement_Register!$AO$9,0))</f>
        <v>0</v>
      </c>
    </row>
    <row r="12" customFormat="false" ht="15" hidden="false" customHeight="false" outlineLevel="0" collapsed="false">
      <c r="A12" s="29" t="s">
        <v>801</v>
      </c>
      <c r="B12" s="60" t="s">
        <v>798</v>
      </c>
      <c r="C12" s="66" t="n">
        <f aca="false">SUM(E12:P12)</f>
        <v>1125.4</v>
      </c>
      <c r="D12" s="66" t="n">
        <f aca="false">SUM(Q12:AB12)</f>
        <v>0</v>
      </c>
      <c r="E12" s="67" t="n">
        <f aca="false">IF(E$5="A",Inputs_Actuals!E27,IF(AND(Assumptions!E$187&gt;=Engagement_Register!$AN$10,Assumptions!E$187&lt;=Engagement_Register!$AH$10,Engagement_Register!$AO$10&gt;0),(Engagement_Register!$AM$10-Engagement_Register!$AJ$10)*Assumptions!E$200/Engagement_Register!$AO$10,0))</f>
        <v>210</v>
      </c>
      <c r="F12" s="67" t="n">
        <f aca="false">IF(F$5="A",Inputs_Actuals!F27,IF(AND(Assumptions!F$187&gt;=Engagement_Register!$AN$10,Assumptions!F$187&lt;=Engagement_Register!$AH$10,Engagement_Register!$AO$10&gt;0),(Engagement_Register!$AM$10-Engagement_Register!$AJ$10)*Assumptions!F$200/Engagement_Register!$AO$10,0))</f>
        <v>212.7</v>
      </c>
      <c r="G12" s="67" t="n">
        <f aca="false">IF(G$5="A",Inputs_Actuals!G27,IF(AND(Assumptions!G$187&gt;=Engagement_Register!$AN$10,Assumptions!G$187&lt;=Engagement_Register!$AH$10,Engagement_Register!$AO$10&gt;0),(Engagement_Register!$AM$10-Engagement_Register!$AJ$10)*Assumptions!G$200/Engagement_Register!$AO$10,0))</f>
        <v>308.7</v>
      </c>
      <c r="H12" s="67" t="n">
        <f aca="false">IF(H$5="A",Inputs_Actuals!H27,IF(AND(Assumptions!H$187&gt;=Engagement_Register!$AN$10,Assumptions!H$187&lt;=Engagement_Register!$AH$10,Engagement_Register!$AO$10&gt;0),(Engagement_Register!$AM$10-Engagement_Register!$AJ$10)*Assumptions!H$200/Engagement_Register!$AO$10,0))</f>
        <v>217.1</v>
      </c>
      <c r="I12" s="67" t="n">
        <f aca="false">IF(I$5="A",Inputs_Actuals!I27,IF(AND(Assumptions!I$187&gt;=Engagement_Register!$AN$10,Assumptions!I$187&lt;=Engagement_Register!$AH$10,Engagement_Register!$AO$10&gt;0),(Engagement_Register!$AM$10-Engagement_Register!$AJ$10)*Assumptions!I$200/Engagement_Register!$AO$10,0))</f>
        <v>176.9</v>
      </c>
      <c r="J12" s="67" t="n">
        <f aca="false">IF(J$5="A",Inputs_Actuals!J27,IF(AND(Assumptions!J$187&gt;=Engagement_Register!$AN$10,Assumptions!J$187&lt;=Engagement_Register!$AH$10,Engagement_Register!$AO$10&gt;0),(Engagement_Register!$AM$10-Engagement_Register!$AJ$10)*Assumptions!J$200/Engagement_Register!$AO$10,0))</f>
        <v>0</v>
      </c>
      <c r="K12" s="67" t="n">
        <f aca="false">IF(K$5="A",Inputs_Actuals!K27,IF(AND(Assumptions!K$187&gt;=Engagement_Register!$AN$10,Assumptions!K$187&lt;=Engagement_Register!$AH$10,Engagement_Register!$AO$10&gt;0),(Engagement_Register!$AM$10-Engagement_Register!$AJ$10)*Assumptions!K$200/Engagement_Register!$AO$10,0))</f>
        <v>0</v>
      </c>
      <c r="L12" s="67" t="n">
        <f aca="false">IF(L$5="A",Inputs_Actuals!L27,IF(AND(Assumptions!L$187&gt;=Engagement_Register!$AN$10,Assumptions!L$187&lt;=Engagement_Register!$AH$10,Engagement_Register!$AO$10&gt;0),(Engagement_Register!$AM$10-Engagement_Register!$AJ$10)*Assumptions!L$200/Engagement_Register!$AO$10,0))</f>
        <v>0</v>
      </c>
      <c r="M12" s="67" t="n">
        <f aca="false">IF(M$5="A",Inputs_Actuals!M27,IF(AND(Assumptions!M$187&gt;=Engagement_Register!$AN$10,Assumptions!M$187&lt;=Engagement_Register!$AH$10,Engagement_Register!$AO$10&gt;0),(Engagement_Register!$AM$10-Engagement_Register!$AJ$10)*Assumptions!M$200/Engagement_Register!$AO$10,0))</f>
        <v>0</v>
      </c>
      <c r="N12" s="67" t="n">
        <f aca="false">IF(N$5="A",Inputs_Actuals!N27,IF(AND(Assumptions!N$187&gt;=Engagement_Register!$AN$10,Assumptions!N$187&lt;=Engagement_Register!$AH$10,Engagement_Register!$AO$10&gt;0),(Engagement_Register!$AM$10-Engagement_Register!$AJ$10)*Assumptions!N$200/Engagement_Register!$AO$10,0))</f>
        <v>0</v>
      </c>
      <c r="O12" s="67" t="n">
        <f aca="false">IF(O$5="A",Inputs_Actuals!O27,IF(AND(Assumptions!O$187&gt;=Engagement_Register!$AN$10,Assumptions!O$187&lt;=Engagement_Register!$AH$10,Engagement_Register!$AO$10&gt;0),(Engagement_Register!$AM$10-Engagement_Register!$AJ$10)*Assumptions!O$200/Engagement_Register!$AO$10,0))</f>
        <v>0</v>
      </c>
      <c r="P12" s="67" t="n">
        <f aca="false">IF(P$5="A",Inputs_Actuals!P27,IF(AND(Assumptions!P$187&gt;=Engagement_Register!$AN$10,Assumptions!P$187&lt;=Engagement_Register!$AH$10,Engagement_Register!$AO$10&gt;0),(Engagement_Register!$AM$10-Engagement_Register!$AJ$10)*Assumptions!P$200/Engagement_Register!$AO$10,0))</f>
        <v>0</v>
      </c>
      <c r="Q12" s="67" t="n">
        <f aca="false">IF(Q$5="A",Inputs_Actuals!Q27,IF(AND(Assumptions!Q$187&gt;=Engagement_Register!$AN$10,Assumptions!Q$187&lt;=Engagement_Register!$AH$10,Engagement_Register!$AO$10&gt;0),(Engagement_Register!$AM$10-Engagement_Register!$AJ$10)*Assumptions!Q$200/Engagement_Register!$AO$10,0))</f>
        <v>0</v>
      </c>
      <c r="R12" s="67" t="n">
        <f aca="false">IF(R$5="A",Inputs_Actuals!R27,IF(AND(Assumptions!R$187&gt;=Engagement_Register!$AN$10,Assumptions!R$187&lt;=Engagement_Register!$AH$10,Engagement_Register!$AO$10&gt;0),(Engagement_Register!$AM$10-Engagement_Register!$AJ$10)*Assumptions!R$200/Engagement_Register!$AO$10,0))</f>
        <v>0</v>
      </c>
      <c r="S12" s="67" t="n">
        <f aca="false">IF(S$5="A",Inputs_Actuals!S27,IF(AND(Assumptions!S$187&gt;=Engagement_Register!$AN$10,Assumptions!S$187&lt;=Engagement_Register!$AH$10,Engagement_Register!$AO$10&gt;0),(Engagement_Register!$AM$10-Engagement_Register!$AJ$10)*Assumptions!S$200/Engagement_Register!$AO$10,0))</f>
        <v>0</v>
      </c>
      <c r="T12" s="67" t="n">
        <f aca="false">IF(T$5="A",Inputs_Actuals!T27,IF(AND(Assumptions!T$187&gt;=Engagement_Register!$AN$10,Assumptions!T$187&lt;=Engagement_Register!$AH$10,Engagement_Register!$AO$10&gt;0),(Engagement_Register!$AM$10-Engagement_Register!$AJ$10)*Assumptions!T$200/Engagement_Register!$AO$10,0))</f>
        <v>0</v>
      </c>
      <c r="U12" s="67" t="n">
        <f aca="false">IF(U$5="A",Inputs_Actuals!U27,IF(AND(Assumptions!U$187&gt;=Engagement_Register!$AN$10,Assumptions!U$187&lt;=Engagement_Register!$AH$10,Engagement_Register!$AO$10&gt;0),(Engagement_Register!$AM$10-Engagement_Register!$AJ$10)*Assumptions!U$200/Engagement_Register!$AO$10,0))</f>
        <v>0</v>
      </c>
      <c r="V12" s="67" t="n">
        <f aca="false">IF(V$5="A",Inputs_Actuals!V27,IF(AND(Assumptions!V$187&gt;=Engagement_Register!$AN$10,Assumptions!V$187&lt;=Engagement_Register!$AH$10,Engagement_Register!$AO$10&gt;0),(Engagement_Register!$AM$10-Engagement_Register!$AJ$10)*Assumptions!V$200/Engagement_Register!$AO$10,0))</f>
        <v>0</v>
      </c>
      <c r="W12" s="67" t="n">
        <f aca="false">IF(W$5="A",Inputs_Actuals!W27,IF(AND(Assumptions!W$187&gt;=Engagement_Register!$AN$10,Assumptions!W$187&lt;=Engagement_Register!$AH$10,Engagement_Register!$AO$10&gt;0),(Engagement_Register!$AM$10-Engagement_Register!$AJ$10)*Assumptions!W$200/Engagement_Register!$AO$10,0))</f>
        <v>0</v>
      </c>
      <c r="X12" s="67" t="n">
        <f aca="false">IF(X$5="A",Inputs_Actuals!X27,IF(AND(Assumptions!X$187&gt;=Engagement_Register!$AN$10,Assumptions!X$187&lt;=Engagement_Register!$AH$10,Engagement_Register!$AO$10&gt;0),(Engagement_Register!$AM$10-Engagement_Register!$AJ$10)*Assumptions!X$200/Engagement_Register!$AO$10,0))</f>
        <v>0</v>
      </c>
      <c r="Y12" s="67" t="n">
        <f aca="false">IF(Y$5="A",Inputs_Actuals!Y27,IF(AND(Assumptions!Y$187&gt;=Engagement_Register!$AN$10,Assumptions!Y$187&lt;=Engagement_Register!$AH$10,Engagement_Register!$AO$10&gt;0),(Engagement_Register!$AM$10-Engagement_Register!$AJ$10)*Assumptions!Y$200/Engagement_Register!$AO$10,0))</f>
        <v>0</v>
      </c>
      <c r="Z12" s="67" t="n">
        <f aca="false">IF(Z$5="A",Inputs_Actuals!Z27,IF(AND(Assumptions!Z$187&gt;=Engagement_Register!$AN$10,Assumptions!Z$187&lt;=Engagement_Register!$AH$10,Engagement_Register!$AO$10&gt;0),(Engagement_Register!$AM$10-Engagement_Register!$AJ$10)*Assumptions!Z$200/Engagement_Register!$AO$10,0))</f>
        <v>0</v>
      </c>
      <c r="AA12" s="67" t="n">
        <f aca="false">IF(AA$5="A",Inputs_Actuals!AA27,IF(AND(Assumptions!AA$187&gt;=Engagement_Register!$AN$10,Assumptions!AA$187&lt;=Engagement_Register!$AH$10,Engagement_Register!$AO$10&gt;0),(Engagement_Register!$AM$10-Engagement_Register!$AJ$10)*Assumptions!AA$200/Engagement_Register!$AO$10,0))</f>
        <v>0</v>
      </c>
      <c r="AB12" s="67" t="n">
        <f aca="false">IF(AB$5="A",Inputs_Actuals!AB27,IF(AND(Assumptions!AB$187&gt;=Engagement_Register!$AN$10,Assumptions!AB$187&lt;=Engagement_Register!$AH$10,Engagement_Register!$AO$10&gt;0),(Engagement_Register!$AM$10-Engagement_Register!$AJ$10)*Assumptions!AB$200/Engagement_Register!$AO$10,0))</f>
        <v>0</v>
      </c>
    </row>
    <row r="13" customFormat="false" ht="15" hidden="false" customHeight="false" outlineLevel="0" collapsed="false">
      <c r="A13" s="29" t="s">
        <v>802</v>
      </c>
      <c r="B13" s="60" t="s">
        <v>798</v>
      </c>
      <c r="C13" s="66" t="n">
        <f aca="false">SUM(E13:P13)</f>
        <v>388.6</v>
      </c>
      <c r="D13" s="66" t="n">
        <f aca="false">SUM(Q13:AB13)</f>
        <v>0</v>
      </c>
      <c r="E13" s="67" t="n">
        <f aca="false">IF(E$5="A",Inputs_Actuals!E32,IF(AND(Assumptions!E$187&gt;=Engagement_Register!$AN$11,Assumptions!E$187&lt;=Engagement_Register!$AH$11,Engagement_Register!$AO$11&gt;0),(Engagement_Register!$AM$11-Engagement_Register!$AJ$11)*Assumptions!E$200/Engagement_Register!$AO$11,0))</f>
        <v>128.7</v>
      </c>
      <c r="F13" s="67" t="n">
        <f aca="false">IF(F$5="A",Inputs_Actuals!F32,IF(AND(Assumptions!F$187&gt;=Engagement_Register!$AN$11,Assumptions!F$187&lt;=Engagement_Register!$AH$11,Engagement_Register!$AO$11&gt;0),(Engagement_Register!$AM$11-Engagement_Register!$AJ$11)*Assumptions!F$200/Engagement_Register!$AO$11,0))</f>
        <v>124.7</v>
      </c>
      <c r="G13" s="67" t="n">
        <f aca="false">IF(G$5="A",Inputs_Actuals!G32,IF(AND(Assumptions!G$187&gt;=Engagement_Register!$AN$11,Assumptions!G$187&lt;=Engagement_Register!$AH$11,Engagement_Register!$AO$11&gt;0),(Engagement_Register!$AM$11-Engagement_Register!$AJ$11)*Assumptions!G$200/Engagement_Register!$AO$11,0))</f>
        <v>135.2</v>
      </c>
      <c r="H13" s="67" t="n">
        <f aca="false">IF(H$5="A",Inputs_Actuals!H32,IF(AND(Assumptions!H$187&gt;=Engagement_Register!$AN$11,Assumptions!H$187&lt;=Engagement_Register!$AH$11,Engagement_Register!$AO$11&gt;0),(Engagement_Register!$AM$11-Engagement_Register!$AJ$11)*Assumptions!H$200/Engagement_Register!$AO$11,0))</f>
        <v>0</v>
      </c>
      <c r="I13" s="67" t="n">
        <f aca="false">IF(I$5="A",Inputs_Actuals!I32,IF(AND(Assumptions!I$187&gt;=Engagement_Register!$AN$11,Assumptions!I$187&lt;=Engagement_Register!$AH$11,Engagement_Register!$AO$11&gt;0),(Engagement_Register!$AM$11-Engagement_Register!$AJ$11)*Assumptions!I$200/Engagement_Register!$AO$11,0))</f>
        <v>0</v>
      </c>
      <c r="J13" s="67" t="n">
        <f aca="false">IF(J$5="A",Inputs_Actuals!J32,IF(AND(Assumptions!J$187&gt;=Engagement_Register!$AN$11,Assumptions!J$187&lt;=Engagement_Register!$AH$11,Engagement_Register!$AO$11&gt;0),(Engagement_Register!$AM$11-Engagement_Register!$AJ$11)*Assumptions!J$200/Engagement_Register!$AO$11,0))</f>
        <v>0</v>
      </c>
      <c r="K13" s="67" t="n">
        <f aca="false">IF(K$5="A",Inputs_Actuals!K32,IF(AND(Assumptions!K$187&gt;=Engagement_Register!$AN$11,Assumptions!K$187&lt;=Engagement_Register!$AH$11,Engagement_Register!$AO$11&gt;0),(Engagement_Register!$AM$11-Engagement_Register!$AJ$11)*Assumptions!K$200/Engagement_Register!$AO$11,0))</f>
        <v>0</v>
      </c>
      <c r="L13" s="67" t="n">
        <f aca="false">IF(L$5="A",Inputs_Actuals!L32,IF(AND(Assumptions!L$187&gt;=Engagement_Register!$AN$11,Assumptions!L$187&lt;=Engagement_Register!$AH$11,Engagement_Register!$AO$11&gt;0),(Engagement_Register!$AM$11-Engagement_Register!$AJ$11)*Assumptions!L$200/Engagement_Register!$AO$11,0))</f>
        <v>0</v>
      </c>
      <c r="M13" s="67" t="n">
        <f aca="false">IF(M$5="A",Inputs_Actuals!M32,IF(AND(Assumptions!M$187&gt;=Engagement_Register!$AN$11,Assumptions!M$187&lt;=Engagement_Register!$AH$11,Engagement_Register!$AO$11&gt;0),(Engagement_Register!$AM$11-Engagement_Register!$AJ$11)*Assumptions!M$200/Engagement_Register!$AO$11,0))</f>
        <v>0</v>
      </c>
      <c r="N13" s="67" t="n">
        <f aca="false">IF(N$5="A",Inputs_Actuals!N32,IF(AND(Assumptions!N$187&gt;=Engagement_Register!$AN$11,Assumptions!N$187&lt;=Engagement_Register!$AH$11,Engagement_Register!$AO$11&gt;0),(Engagement_Register!$AM$11-Engagement_Register!$AJ$11)*Assumptions!N$200/Engagement_Register!$AO$11,0))</f>
        <v>0</v>
      </c>
      <c r="O13" s="67" t="n">
        <f aca="false">IF(O$5="A",Inputs_Actuals!O32,IF(AND(Assumptions!O$187&gt;=Engagement_Register!$AN$11,Assumptions!O$187&lt;=Engagement_Register!$AH$11,Engagement_Register!$AO$11&gt;0),(Engagement_Register!$AM$11-Engagement_Register!$AJ$11)*Assumptions!O$200/Engagement_Register!$AO$11,0))</f>
        <v>0</v>
      </c>
      <c r="P13" s="67" t="n">
        <f aca="false">IF(P$5="A",Inputs_Actuals!P32,IF(AND(Assumptions!P$187&gt;=Engagement_Register!$AN$11,Assumptions!P$187&lt;=Engagement_Register!$AH$11,Engagement_Register!$AO$11&gt;0),(Engagement_Register!$AM$11-Engagement_Register!$AJ$11)*Assumptions!P$200/Engagement_Register!$AO$11,0))</f>
        <v>0</v>
      </c>
      <c r="Q13" s="67" t="n">
        <f aca="false">IF(Q$5="A",Inputs_Actuals!Q32,IF(AND(Assumptions!Q$187&gt;=Engagement_Register!$AN$11,Assumptions!Q$187&lt;=Engagement_Register!$AH$11,Engagement_Register!$AO$11&gt;0),(Engagement_Register!$AM$11-Engagement_Register!$AJ$11)*Assumptions!Q$200/Engagement_Register!$AO$11,0))</f>
        <v>0</v>
      </c>
      <c r="R13" s="67" t="n">
        <f aca="false">IF(R$5="A",Inputs_Actuals!R32,IF(AND(Assumptions!R$187&gt;=Engagement_Register!$AN$11,Assumptions!R$187&lt;=Engagement_Register!$AH$11,Engagement_Register!$AO$11&gt;0),(Engagement_Register!$AM$11-Engagement_Register!$AJ$11)*Assumptions!R$200/Engagement_Register!$AO$11,0))</f>
        <v>0</v>
      </c>
      <c r="S13" s="67" t="n">
        <f aca="false">IF(S$5="A",Inputs_Actuals!S32,IF(AND(Assumptions!S$187&gt;=Engagement_Register!$AN$11,Assumptions!S$187&lt;=Engagement_Register!$AH$11,Engagement_Register!$AO$11&gt;0),(Engagement_Register!$AM$11-Engagement_Register!$AJ$11)*Assumptions!S$200/Engagement_Register!$AO$11,0))</f>
        <v>0</v>
      </c>
      <c r="T13" s="67" t="n">
        <f aca="false">IF(T$5="A",Inputs_Actuals!T32,IF(AND(Assumptions!T$187&gt;=Engagement_Register!$AN$11,Assumptions!T$187&lt;=Engagement_Register!$AH$11,Engagement_Register!$AO$11&gt;0),(Engagement_Register!$AM$11-Engagement_Register!$AJ$11)*Assumptions!T$200/Engagement_Register!$AO$11,0))</f>
        <v>0</v>
      </c>
      <c r="U13" s="67" t="n">
        <f aca="false">IF(U$5="A",Inputs_Actuals!U32,IF(AND(Assumptions!U$187&gt;=Engagement_Register!$AN$11,Assumptions!U$187&lt;=Engagement_Register!$AH$11,Engagement_Register!$AO$11&gt;0),(Engagement_Register!$AM$11-Engagement_Register!$AJ$11)*Assumptions!U$200/Engagement_Register!$AO$11,0))</f>
        <v>0</v>
      </c>
      <c r="V13" s="67" t="n">
        <f aca="false">IF(V$5="A",Inputs_Actuals!V32,IF(AND(Assumptions!V$187&gt;=Engagement_Register!$AN$11,Assumptions!V$187&lt;=Engagement_Register!$AH$11,Engagement_Register!$AO$11&gt;0),(Engagement_Register!$AM$11-Engagement_Register!$AJ$11)*Assumptions!V$200/Engagement_Register!$AO$11,0))</f>
        <v>0</v>
      </c>
      <c r="W13" s="67" t="n">
        <f aca="false">IF(W$5="A",Inputs_Actuals!W32,IF(AND(Assumptions!W$187&gt;=Engagement_Register!$AN$11,Assumptions!W$187&lt;=Engagement_Register!$AH$11,Engagement_Register!$AO$11&gt;0),(Engagement_Register!$AM$11-Engagement_Register!$AJ$11)*Assumptions!W$200/Engagement_Register!$AO$11,0))</f>
        <v>0</v>
      </c>
      <c r="X13" s="67" t="n">
        <f aca="false">IF(X$5="A",Inputs_Actuals!X32,IF(AND(Assumptions!X$187&gt;=Engagement_Register!$AN$11,Assumptions!X$187&lt;=Engagement_Register!$AH$11,Engagement_Register!$AO$11&gt;0),(Engagement_Register!$AM$11-Engagement_Register!$AJ$11)*Assumptions!X$200/Engagement_Register!$AO$11,0))</f>
        <v>0</v>
      </c>
      <c r="Y13" s="67" t="n">
        <f aca="false">IF(Y$5="A",Inputs_Actuals!Y32,IF(AND(Assumptions!Y$187&gt;=Engagement_Register!$AN$11,Assumptions!Y$187&lt;=Engagement_Register!$AH$11,Engagement_Register!$AO$11&gt;0),(Engagement_Register!$AM$11-Engagement_Register!$AJ$11)*Assumptions!Y$200/Engagement_Register!$AO$11,0))</f>
        <v>0</v>
      </c>
      <c r="Z13" s="67" t="n">
        <f aca="false">IF(Z$5="A",Inputs_Actuals!Z32,IF(AND(Assumptions!Z$187&gt;=Engagement_Register!$AN$11,Assumptions!Z$187&lt;=Engagement_Register!$AH$11,Engagement_Register!$AO$11&gt;0),(Engagement_Register!$AM$11-Engagement_Register!$AJ$11)*Assumptions!Z$200/Engagement_Register!$AO$11,0))</f>
        <v>0</v>
      </c>
      <c r="AA13" s="67" t="n">
        <f aca="false">IF(AA$5="A",Inputs_Actuals!AA32,IF(AND(Assumptions!AA$187&gt;=Engagement_Register!$AN$11,Assumptions!AA$187&lt;=Engagement_Register!$AH$11,Engagement_Register!$AO$11&gt;0),(Engagement_Register!$AM$11-Engagement_Register!$AJ$11)*Assumptions!AA$200/Engagement_Register!$AO$11,0))</f>
        <v>0</v>
      </c>
      <c r="AB13" s="67" t="n">
        <f aca="false">IF(AB$5="A",Inputs_Actuals!AB32,IF(AND(Assumptions!AB$187&gt;=Engagement_Register!$AN$11,Assumptions!AB$187&lt;=Engagement_Register!$AH$11,Engagement_Register!$AO$11&gt;0),(Engagement_Register!$AM$11-Engagement_Register!$AJ$11)*Assumptions!AB$200/Engagement_Register!$AO$11,0))</f>
        <v>0</v>
      </c>
    </row>
    <row r="14" customFormat="false" ht="15" hidden="false" customHeight="false" outlineLevel="0" collapsed="false">
      <c r="A14" s="29" t="s">
        <v>803</v>
      </c>
      <c r="B14" s="60" t="s">
        <v>798</v>
      </c>
      <c r="C14" s="66" t="n">
        <f aca="false">SUM(E14:P14)</f>
        <v>1212.2</v>
      </c>
      <c r="D14" s="66" t="n">
        <f aca="false">SUM(Q14:AB14)</f>
        <v>0</v>
      </c>
      <c r="E14" s="67" t="n">
        <f aca="false">IF(E$5="A",Inputs_Actuals!E37,IF(AND(Assumptions!E$187&gt;=Engagement_Register!$AN$12,Assumptions!E$187&lt;=Engagement_Register!$AH$12,Engagement_Register!$AO$12&gt;0),(Engagement_Register!$AM$12-Engagement_Register!$AJ$12)*Assumptions!E$200/Engagement_Register!$AO$12,0))</f>
        <v>190.3</v>
      </c>
      <c r="F14" s="67" t="n">
        <f aca="false">IF(F$5="A",Inputs_Actuals!F37,IF(AND(Assumptions!F$187&gt;=Engagement_Register!$AN$12,Assumptions!F$187&lt;=Engagement_Register!$AH$12,Engagement_Register!$AO$12&gt;0),(Engagement_Register!$AM$12-Engagement_Register!$AJ$12)*Assumptions!F$200/Engagement_Register!$AO$12,0))</f>
        <v>196.3</v>
      </c>
      <c r="G14" s="67" t="n">
        <f aca="false">IF(G$5="A",Inputs_Actuals!G37,IF(AND(Assumptions!G$187&gt;=Engagement_Register!$AN$12,Assumptions!G$187&lt;=Engagement_Register!$AH$12,Engagement_Register!$AO$12&gt;0),(Engagement_Register!$AM$12-Engagement_Register!$AJ$12)*Assumptions!G$200/Engagement_Register!$AO$12,0))</f>
        <v>199.6</v>
      </c>
      <c r="H14" s="67" t="n">
        <f aca="false">IF(H$5="A",Inputs_Actuals!H37,IF(AND(Assumptions!H$187&gt;=Engagement_Register!$AN$12,Assumptions!H$187&lt;=Engagement_Register!$AH$12,Engagement_Register!$AO$12&gt;0),(Engagement_Register!$AM$12-Engagement_Register!$AJ$12)*Assumptions!H$200/Engagement_Register!$AO$12,0))</f>
        <v>187</v>
      </c>
      <c r="I14" s="67" t="n">
        <f aca="false">IF(I$5="A",Inputs_Actuals!I37,IF(AND(Assumptions!I$187&gt;=Engagement_Register!$AN$12,Assumptions!I$187&lt;=Engagement_Register!$AH$12,Engagement_Register!$AO$12&gt;0),(Engagement_Register!$AM$12-Engagement_Register!$AJ$12)*Assumptions!I$200/Engagement_Register!$AO$12,0))</f>
        <v>156.6</v>
      </c>
      <c r="J14" s="67" t="n">
        <f aca="false">IF(J$5="A",Inputs_Actuals!J37,IF(AND(Assumptions!J$187&gt;=Engagement_Register!$AN$12,Assumptions!J$187&lt;=Engagement_Register!$AH$12,Engagement_Register!$AO$12&gt;0),(Engagement_Register!$AM$12-Engagement_Register!$AJ$12)*Assumptions!J$200/Engagement_Register!$AO$12,0))</f>
        <v>196.9</v>
      </c>
      <c r="K14" s="67" t="n">
        <f aca="false">IF(K$5="A",Inputs_Actuals!K37,IF(AND(Assumptions!K$187&gt;=Engagement_Register!$AN$12,Assumptions!K$187&lt;=Engagement_Register!$AH$12,Engagement_Register!$AO$12&gt;0),(Engagement_Register!$AM$12-Engagement_Register!$AJ$12)*Assumptions!K$200/Engagement_Register!$AO$12,0))</f>
        <v>85.5</v>
      </c>
      <c r="L14" s="67" t="n">
        <f aca="false">IF(L$5="A",Inputs_Actuals!L37,IF(AND(Assumptions!L$187&gt;=Engagement_Register!$AN$12,Assumptions!L$187&lt;=Engagement_Register!$AH$12,Engagement_Register!$AO$12&gt;0),(Engagement_Register!$AM$12-Engagement_Register!$AJ$12)*Assumptions!L$200/Engagement_Register!$AO$12,0))</f>
        <v>0</v>
      </c>
      <c r="M14" s="67" t="n">
        <f aca="false">IF(M$5="A",Inputs_Actuals!M37,IF(AND(Assumptions!M$187&gt;=Engagement_Register!$AN$12,Assumptions!M$187&lt;=Engagement_Register!$AH$12,Engagement_Register!$AO$12&gt;0),(Engagement_Register!$AM$12-Engagement_Register!$AJ$12)*Assumptions!M$200/Engagement_Register!$AO$12,0))</f>
        <v>0</v>
      </c>
      <c r="N14" s="67" t="n">
        <f aca="false">IF(N$5="A",Inputs_Actuals!N37,IF(AND(Assumptions!N$187&gt;=Engagement_Register!$AN$12,Assumptions!N$187&lt;=Engagement_Register!$AH$12,Engagement_Register!$AO$12&gt;0),(Engagement_Register!$AM$12-Engagement_Register!$AJ$12)*Assumptions!N$200/Engagement_Register!$AO$12,0))</f>
        <v>0</v>
      </c>
      <c r="O14" s="67" t="n">
        <f aca="false">IF(O$5="A",Inputs_Actuals!O37,IF(AND(Assumptions!O$187&gt;=Engagement_Register!$AN$12,Assumptions!O$187&lt;=Engagement_Register!$AH$12,Engagement_Register!$AO$12&gt;0),(Engagement_Register!$AM$12-Engagement_Register!$AJ$12)*Assumptions!O$200/Engagement_Register!$AO$12,0))</f>
        <v>0</v>
      </c>
      <c r="P14" s="67" t="n">
        <f aca="false">IF(P$5="A",Inputs_Actuals!P37,IF(AND(Assumptions!P$187&gt;=Engagement_Register!$AN$12,Assumptions!P$187&lt;=Engagement_Register!$AH$12,Engagement_Register!$AO$12&gt;0),(Engagement_Register!$AM$12-Engagement_Register!$AJ$12)*Assumptions!P$200/Engagement_Register!$AO$12,0))</f>
        <v>0</v>
      </c>
      <c r="Q14" s="67" t="n">
        <f aca="false">IF(Q$5="A",Inputs_Actuals!Q37,IF(AND(Assumptions!Q$187&gt;=Engagement_Register!$AN$12,Assumptions!Q$187&lt;=Engagement_Register!$AH$12,Engagement_Register!$AO$12&gt;0),(Engagement_Register!$AM$12-Engagement_Register!$AJ$12)*Assumptions!Q$200/Engagement_Register!$AO$12,0))</f>
        <v>0</v>
      </c>
      <c r="R14" s="67" t="n">
        <f aca="false">IF(R$5="A",Inputs_Actuals!R37,IF(AND(Assumptions!R$187&gt;=Engagement_Register!$AN$12,Assumptions!R$187&lt;=Engagement_Register!$AH$12,Engagement_Register!$AO$12&gt;0),(Engagement_Register!$AM$12-Engagement_Register!$AJ$12)*Assumptions!R$200/Engagement_Register!$AO$12,0))</f>
        <v>0</v>
      </c>
      <c r="S14" s="67" t="n">
        <f aca="false">IF(S$5="A",Inputs_Actuals!S37,IF(AND(Assumptions!S$187&gt;=Engagement_Register!$AN$12,Assumptions!S$187&lt;=Engagement_Register!$AH$12,Engagement_Register!$AO$12&gt;0),(Engagement_Register!$AM$12-Engagement_Register!$AJ$12)*Assumptions!S$200/Engagement_Register!$AO$12,0))</f>
        <v>0</v>
      </c>
      <c r="T14" s="67" t="n">
        <f aca="false">IF(T$5="A",Inputs_Actuals!T37,IF(AND(Assumptions!T$187&gt;=Engagement_Register!$AN$12,Assumptions!T$187&lt;=Engagement_Register!$AH$12,Engagement_Register!$AO$12&gt;0),(Engagement_Register!$AM$12-Engagement_Register!$AJ$12)*Assumptions!T$200/Engagement_Register!$AO$12,0))</f>
        <v>0</v>
      </c>
      <c r="U14" s="67" t="n">
        <f aca="false">IF(U$5="A",Inputs_Actuals!U37,IF(AND(Assumptions!U$187&gt;=Engagement_Register!$AN$12,Assumptions!U$187&lt;=Engagement_Register!$AH$12,Engagement_Register!$AO$12&gt;0),(Engagement_Register!$AM$12-Engagement_Register!$AJ$12)*Assumptions!U$200/Engagement_Register!$AO$12,0))</f>
        <v>0</v>
      </c>
      <c r="V14" s="67" t="n">
        <f aca="false">IF(V$5="A",Inputs_Actuals!V37,IF(AND(Assumptions!V$187&gt;=Engagement_Register!$AN$12,Assumptions!V$187&lt;=Engagement_Register!$AH$12,Engagement_Register!$AO$12&gt;0),(Engagement_Register!$AM$12-Engagement_Register!$AJ$12)*Assumptions!V$200/Engagement_Register!$AO$12,0))</f>
        <v>0</v>
      </c>
      <c r="W14" s="67" t="n">
        <f aca="false">IF(W$5="A",Inputs_Actuals!W37,IF(AND(Assumptions!W$187&gt;=Engagement_Register!$AN$12,Assumptions!W$187&lt;=Engagement_Register!$AH$12,Engagement_Register!$AO$12&gt;0),(Engagement_Register!$AM$12-Engagement_Register!$AJ$12)*Assumptions!W$200/Engagement_Register!$AO$12,0))</f>
        <v>0</v>
      </c>
      <c r="X14" s="67" t="n">
        <f aca="false">IF(X$5="A",Inputs_Actuals!X37,IF(AND(Assumptions!X$187&gt;=Engagement_Register!$AN$12,Assumptions!X$187&lt;=Engagement_Register!$AH$12,Engagement_Register!$AO$12&gt;0),(Engagement_Register!$AM$12-Engagement_Register!$AJ$12)*Assumptions!X$200/Engagement_Register!$AO$12,0))</f>
        <v>0</v>
      </c>
      <c r="Y14" s="67" t="n">
        <f aca="false">IF(Y$5="A",Inputs_Actuals!Y37,IF(AND(Assumptions!Y$187&gt;=Engagement_Register!$AN$12,Assumptions!Y$187&lt;=Engagement_Register!$AH$12,Engagement_Register!$AO$12&gt;0),(Engagement_Register!$AM$12-Engagement_Register!$AJ$12)*Assumptions!Y$200/Engagement_Register!$AO$12,0))</f>
        <v>0</v>
      </c>
      <c r="Z14" s="67" t="n">
        <f aca="false">IF(Z$5="A",Inputs_Actuals!Z37,IF(AND(Assumptions!Z$187&gt;=Engagement_Register!$AN$12,Assumptions!Z$187&lt;=Engagement_Register!$AH$12,Engagement_Register!$AO$12&gt;0),(Engagement_Register!$AM$12-Engagement_Register!$AJ$12)*Assumptions!Z$200/Engagement_Register!$AO$12,0))</f>
        <v>0</v>
      </c>
      <c r="AA14" s="67" t="n">
        <f aca="false">IF(AA$5="A",Inputs_Actuals!AA37,IF(AND(Assumptions!AA$187&gt;=Engagement_Register!$AN$12,Assumptions!AA$187&lt;=Engagement_Register!$AH$12,Engagement_Register!$AO$12&gt;0),(Engagement_Register!$AM$12-Engagement_Register!$AJ$12)*Assumptions!AA$200/Engagement_Register!$AO$12,0))</f>
        <v>0</v>
      </c>
      <c r="AB14" s="67" t="n">
        <f aca="false">IF(AB$5="A",Inputs_Actuals!AB37,IF(AND(Assumptions!AB$187&gt;=Engagement_Register!$AN$12,Assumptions!AB$187&lt;=Engagement_Register!$AH$12,Engagement_Register!$AO$12&gt;0),(Engagement_Register!$AM$12-Engagement_Register!$AJ$12)*Assumptions!AB$200/Engagement_Register!$AO$12,0))</f>
        <v>0</v>
      </c>
    </row>
    <row r="15" customFormat="false" ht="15" hidden="false" customHeight="false" outlineLevel="0" collapsed="false">
      <c r="A15" s="29" t="s">
        <v>804</v>
      </c>
      <c r="B15" s="60" t="s">
        <v>798</v>
      </c>
      <c r="C15" s="66" t="n">
        <f aca="false">SUM(E15:P15)</f>
        <v>1450</v>
      </c>
      <c r="D15" s="66" t="n">
        <f aca="false">SUM(Q15:AB15)</f>
        <v>0</v>
      </c>
      <c r="E15" s="67" t="n">
        <f aca="false">IF(E$5="A",Inputs_Actuals!E43,IF(AND(Assumptions!E$187&gt;=Engagement_Register!$AN$13,Assumptions!E$187&lt;=Engagement_Register!$AH$13,Engagement_Register!$AO$13&gt;0),(Engagement_Register!$AM$13-Engagement_Register!$AJ$13)*Assumptions!E$200/Engagement_Register!$AO$13,0))</f>
        <v>220</v>
      </c>
      <c r="F15" s="67" t="n">
        <f aca="false">IF(F$5="A",Inputs_Actuals!F43,IF(AND(Assumptions!F$187&gt;=Engagement_Register!$AN$13,Assumptions!F$187&lt;=Engagement_Register!$AH$13,Engagement_Register!$AO$13&gt;0),(Engagement_Register!$AM$13-Engagement_Register!$AJ$13)*Assumptions!F$200/Engagement_Register!$AO$13,0))</f>
        <v>224</v>
      </c>
      <c r="G15" s="67" t="n">
        <f aca="false">IF(G$5="A",Inputs_Actuals!G43,IF(AND(Assumptions!G$187&gt;=Engagement_Register!$AN$13,Assumptions!G$187&lt;=Engagement_Register!$AH$13,Engagement_Register!$AO$13&gt;0),(Engagement_Register!$AM$13-Engagement_Register!$AJ$13)*Assumptions!G$200/Engagement_Register!$AO$13,0))</f>
        <v>244.4</v>
      </c>
      <c r="H15" s="67" t="n">
        <f aca="false">IF(H$5="A",Inputs_Actuals!H43,IF(AND(Assumptions!H$187&gt;=Engagement_Register!$AN$13,Assumptions!H$187&lt;=Engagement_Register!$AH$13,Engagement_Register!$AO$13&gt;0),(Engagement_Register!$AM$13-Engagement_Register!$AJ$13)*Assumptions!H$200/Engagement_Register!$AO$13,0))</f>
        <v>249.4</v>
      </c>
      <c r="I15" s="67" t="n">
        <f aca="false">IF(I$5="A",Inputs_Actuals!I43,IF(AND(Assumptions!I$187&gt;=Engagement_Register!$AN$13,Assumptions!I$187&lt;=Engagement_Register!$AH$13,Engagement_Register!$AO$13&gt;0),(Engagement_Register!$AM$13-Engagement_Register!$AJ$13)*Assumptions!I$200/Engagement_Register!$AO$13,0))</f>
        <v>209.4</v>
      </c>
      <c r="J15" s="67" t="n">
        <f aca="false">IF(J$5="A",Inputs_Actuals!J43,IF(AND(Assumptions!J$187&gt;=Engagement_Register!$AN$13,Assumptions!J$187&lt;=Engagement_Register!$AH$13,Engagement_Register!$AO$13&gt;0),(Engagement_Register!$AM$13-Engagement_Register!$AJ$13)*Assumptions!J$200/Engagement_Register!$AO$13,0))</f>
        <v>302.8</v>
      </c>
      <c r="K15" s="67" t="n">
        <f aca="false">IF(K$5="A",Inputs_Actuals!K43,IF(AND(Assumptions!K$187&gt;=Engagement_Register!$AN$13,Assumptions!K$187&lt;=Engagement_Register!$AH$13,Engagement_Register!$AO$13&gt;0),(Engagement_Register!$AM$13-Engagement_Register!$AJ$13)*Assumptions!K$200/Engagement_Register!$AO$13,0))</f>
        <v>0</v>
      </c>
      <c r="L15" s="67" t="n">
        <f aca="false">IF(L$5="A",Inputs_Actuals!L43,IF(AND(Assumptions!L$187&gt;=Engagement_Register!$AN$13,Assumptions!L$187&lt;=Engagement_Register!$AH$13,Engagement_Register!$AO$13&gt;0),(Engagement_Register!$AM$13-Engagement_Register!$AJ$13)*Assumptions!L$200/Engagement_Register!$AO$13,0))</f>
        <v>0</v>
      </c>
      <c r="M15" s="67" t="n">
        <f aca="false">IF(M$5="A",Inputs_Actuals!M43,IF(AND(Assumptions!M$187&gt;=Engagement_Register!$AN$13,Assumptions!M$187&lt;=Engagement_Register!$AH$13,Engagement_Register!$AO$13&gt;0),(Engagement_Register!$AM$13-Engagement_Register!$AJ$13)*Assumptions!M$200/Engagement_Register!$AO$13,0))</f>
        <v>0</v>
      </c>
      <c r="N15" s="67" t="n">
        <f aca="false">IF(N$5="A",Inputs_Actuals!N43,IF(AND(Assumptions!N$187&gt;=Engagement_Register!$AN$13,Assumptions!N$187&lt;=Engagement_Register!$AH$13,Engagement_Register!$AO$13&gt;0),(Engagement_Register!$AM$13-Engagement_Register!$AJ$13)*Assumptions!N$200/Engagement_Register!$AO$13,0))</f>
        <v>0</v>
      </c>
      <c r="O15" s="67" t="n">
        <f aca="false">IF(O$5="A",Inputs_Actuals!O43,IF(AND(Assumptions!O$187&gt;=Engagement_Register!$AN$13,Assumptions!O$187&lt;=Engagement_Register!$AH$13,Engagement_Register!$AO$13&gt;0),(Engagement_Register!$AM$13-Engagement_Register!$AJ$13)*Assumptions!O$200/Engagement_Register!$AO$13,0))</f>
        <v>0</v>
      </c>
      <c r="P15" s="67" t="n">
        <f aca="false">IF(P$5="A",Inputs_Actuals!P43,IF(AND(Assumptions!P$187&gt;=Engagement_Register!$AN$13,Assumptions!P$187&lt;=Engagement_Register!$AH$13,Engagement_Register!$AO$13&gt;0),(Engagement_Register!$AM$13-Engagement_Register!$AJ$13)*Assumptions!P$200/Engagement_Register!$AO$13,0))</f>
        <v>0</v>
      </c>
      <c r="Q15" s="67" t="n">
        <f aca="false">IF(Q$5="A",Inputs_Actuals!Q43,IF(AND(Assumptions!Q$187&gt;=Engagement_Register!$AN$13,Assumptions!Q$187&lt;=Engagement_Register!$AH$13,Engagement_Register!$AO$13&gt;0),(Engagement_Register!$AM$13-Engagement_Register!$AJ$13)*Assumptions!Q$200/Engagement_Register!$AO$13,0))</f>
        <v>0</v>
      </c>
      <c r="R15" s="67" t="n">
        <f aca="false">IF(R$5="A",Inputs_Actuals!R43,IF(AND(Assumptions!R$187&gt;=Engagement_Register!$AN$13,Assumptions!R$187&lt;=Engagement_Register!$AH$13,Engagement_Register!$AO$13&gt;0),(Engagement_Register!$AM$13-Engagement_Register!$AJ$13)*Assumptions!R$200/Engagement_Register!$AO$13,0))</f>
        <v>0</v>
      </c>
      <c r="S15" s="67" t="n">
        <f aca="false">IF(S$5="A",Inputs_Actuals!S43,IF(AND(Assumptions!S$187&gt;=Engagement_Register!$AN$13,Assumptions!S$187&lt;=Engagement_Register!$AH$13,Engagement_Register!$AO$13&gt;0),(Engagement_Register!$AM$13-Engagement_Register!$AJ$13)*Assumptions!S$200/Engagement_Register!$AO$13,0))</f>
        <v>0</v>
      </c>
      <c r="T15" s="67" t="n">
        <f aca="false">IF(T$5="A",Inputs_Actuals!T43,IF(AND(Assumptions!T$187&gt;=Engagement_Register!$AN$13,Assumptions!T$187&lt;=Engagement_Register!$AH$13,Engagement_Register!$AO$13&gt;0),(Engagement_Register!$AM$13-Engagement_Register!$AJ$13)*Assumptions!T$200/Engagement_Register!$AO$13,0))</f>
        <v>0</v>
      </c>
      <c r="U15" s="67" t="n">
        <f aca="false">IF(U$5="A",Inputs_Actuals!U43,IF(AND(Assumptions!U$187&gt;=Engagement_Register!$AN$13,Assumptions!U$187&lt;=Engagement_Register!$AH$13,Engagement_Register!$AO$13&gt;0),(Engagement_Register!$AM$13-Engagement_Register!$AJ$13)*Assumptions!U$200/Engagement_Register!$AO$13,0))</f>
        <v>0</v>
      </c>
      <c r="V15" s="67" t="n">
        <f aca="false">IF(V$5="A",Inputs_Actuals!V43,IF(AND(Assumptions!V$187&gt;=Engagement_Register!$AN$13,Assumptions!V$187&lt;=Engagement_Register!$AH$13,Engagement_Register!$AO$13&gt;0),(Engagement_Register!$AM$13-Engagement_Register!$AJ$13)*Assumptions!V$200/Engagement_Register!$AO$13,0))</f>
        <v>0</v>
      </c>
      <c r="W15" s="67" t="n">
        <f aca="false">IF(W$5="A",Inputs_Actuals!W43,IF(AND(Assumptions!W$187&gt;=Engagement_Register!$AN$13,Assumptions!W$187&lt;=Engagement_Register!$AH$13,Engagement_Register!$AO$13&gt;0),(Engagement_Register!$AM$13-Engagement_Register!$AJ$13)*Assumptions!W$200/Engagement_Register!$AO$13,0))</f>
        <v>0</v>
      </c>
      <c r="X15" s="67" t="n">
        <f aca="false">IF(X$5="A",Inputs_Actuals!X43,IF(AND(Assumptions!X$187&gt;=Engagement_Register!$AN$13,Assumptions!X$187&lt;=Engagement_Register!$AH$13,Engagement_Register!$AO$13&gt;0),(Engagement_Register!$AM$13-Engagement_Register!$AJ$13)*Assumptions!X$200/Engagement_Register!$AO$13,0))</f>
        <v>0</v>
      </c>
      <c r="Y15" s="67" t="n">
        <f aca="false">IF(Y$5="A",Inputs_Actuals!Y43,IF(AND(Assumptions!Y$187&gt;=Engagement_Register!$AN$13,Assumptions!Y$187&lt;=Engagement_Register!$AH$13,Engagement_Register!$AO$13&gt;0),(Engagement_Register!$AM$13-Engagement_Register!$AJ$13)*Assumptions!Y$200/Engagement_Register!$AO$13,0))</f>
        <v>0</v>
      </c>
      <c r="Z15" s="67" t="n">
        <f aca="false">IF(Z$5="A",Inputs_Actuals!Z43,IF(AND(Assumptions!Z$187&gt;=Engagement_Register!$AN$13,Assumptions!Z$187&lt;=Engagement_Register!$AH$13,Engagement_Register!$AO$13&gt;0),(Engagement_Register!$AM$13-Engagement_Register!$AJ$13)*Assumptions!Z$200/Engagement_Register!$AO$13,0))</f>
        <v>0</v>
      </c>
      <c r="AA15" s="67" t="n">
        <f aca="false">IF(AA$5="A",Inputs_Actuals!AA43,IF(AND(Assumptions!AA$187&gt;=Engagement_Register!$AN$13,Assumptions!AA$187&lt;=Engagement_Register!$AH$13,Engagement_Register!$AO$13&gt;0),(Engagement_Register!$AM$13-Engagement_Register!$AJ$13)*Assumptions!AA$200/Engagement_Register!$AO$13,0))</f>
        <v>0</v>
      </c>
      <c r="AB15" s="67" t="n">
        <f aca="false">IF(AB$5="A",Inputs_Actuals!AB43,IF(AND(Assumptions!AB$187&gt;=Engagement_Register!$AN$13,Assumptions!AB$187&lt;=Engagement_Register!$AH$13,Engagement_Register!$AO$13&gt;0),(Engagement_Register!$AM$13-Engagement_Register!$AJ$13)*Assumptions!AB$200/Engagement_Register!$AO$13,0))</f>
        <v>0</v>
      </c>
    </row>
    <row r="16" customFormat="false" ht="15" hidden="false" customHeight="false" outlineLevel="0" collapsed="false">
      <c r="A16" s="29" t="s">
        <v>805</v>
      </c>
      <c r="B16" s="60" t="s">
        <v>798</v>
      </c>
      <c r="C16" s="66" t="n">
        <f aca="false">SUM(E16:P16)</f>
        <v>2875.4</v>
      </c>
      <c r="D16" s="66" t="n">
        <f aca="false">SUM(Q16:AB16)</f>
        <v>0</v>
      </c>
      <c r="E16" s="67" t="n">
        <f aca="false">IF(E$5="A",Inputs_Actuals!E48,IF(AND(Assumptions!E$187&gt;=Engagement_Register!$AN$14,Assumptions!E$187&lt;=Engagement_Register!$AH$14,Engagement_Register!$AO$14&gt;0),(Engagement_Register!$AM$14-Engagement_Register!$AJ$14)*Assumptions!E$200/Engagement_Register!$AO$14,0))</f>
        <v>0</v>
      </c>
      <c r="F16" s="67" t="n">
        <f aca="false">IF(F$5="A",Inputs_Actuals!F48,IF(AND(Assumptions!F$187&gt;=Engagement_Register!$AN$14,Assumptions!F$187&lt;=Engagement_Register!$AH$14,Engagement_Register!$AO$14&gt;0),(Engagement_Register!$AM$14-Engagement_Register!$AJ$14)*Assumptions!F$200/Engagement_Register!$AO$14,0))</f>
        <v>298.4</v>
      </c>
      <c r="G16" s="67" t="n">
        <f aca="false">IF(G$5="A",Inputs_Actuals!G48,IF(AND(Assumptions!G$187&gt;=Engagement_Register!$AN$14,Assumptions!G$187&lt;=Engagement_Register!$AH$14,Engagement_Register!$AO$14&gt;0),(Engagement_Register!$AM$14-Engagement_Register!$AJ$14)*Assumptions!G$200/Engagement_Register!$AO$14,0))</f>
        <v>345.6</v>
      </c>
      <c r="H16" s="67" t="n">
        <f aca="false">IF(H$5="A",Inputs_Actuals!H48,IF(AND(Assumptions!H$187&gt;=Engagement_Register!$AN$14,Assumptions!H$187&lt;=Engagement_Register!$AH$14,Engagement_Register!$AO$14&gt;0),(Engagement_Register!$AM$14-Engagement_Register!$AJ$14)*Assumptions!H$200/Engagement_Register!$AO$14,0))</f>
        <v>299.6</v>
      </c>
      <c r="I16" s="67" t="n">
        <f aca="false">IF(I$5="A",Inputs_Actuals!I48,IF(AND(Assumptions!I$187&gt;=Engagement_Register!$AN$14,Assumptions!I$187&lt;=Engagement_Register!$AH$14,Engagement_Register!$AO$14&gt;0),(Engagement_Register!$AM$14-Engagement_Register!$AJ$14)*Assumptions!I$200/Engagement_Register!$AO$14,0))</f>
        <v>263.2</v>
      </c>
      <c r="J16" s="67" t="n">
        <f aca="false">IF(J$5="A",Inputs_Actuals!J48,IF(AND(Assumptions!J$187&gt;=Engagement_Register!$AN$14,Assumptions!J$187&lt;=Engagement_Register!$AH$14,Engagement_Register!$AO$14&gt;0),(Engagement_Register!$AM$14-Engagement_Register!$AJ$14)*Assumptions!J$200/Engagement_Register!$AO$14,0))</f>
        <v>328.2</v>
      </c>
      <c r="K16" s="67" t="n">
        <f aca="false">IF(K$5="A",Inputs_Actuals!K48,IF(AND(Assumptions!K$187&gt;=Engagement_Register!$AN$14,Assumptions!K$187&lt;=Engagement_Register!$AH$14,Engagement_Register!$AO$14&gt;0),(Engagement_Register!$AM$14-Engagement_Register!$AJ$14)*Assumptions!K$200/Engagement_Register!$AO$14,0))</f>
        <v>376.7</v>
      </c>
      <c r="L16" s="67" t="n">
        <f aca="false">IF(L$5="A",Inputs_Actuals!L48,IF(AND(Assumptions!L$187&gt;=Engagement_Register!$AN$14,Assumptions!L$187&lt;=Engagement_Register!$AH$14,Engagement_Register!$AO$14&gt;0),(Engagement_Register!$AM$14-Engagement_Register!$AJ$14)*Assumptions!L$200/Engagement_Register!$AO$14,0))</f>
        <v>278</v>
      </c>
      <c r="M16" s="67" t="n">
        <f aca="false">IF(M$5="A",Inputs_Actuals!M48,IF(AND(Assumptions!M$187&gt;=Engagement_Register!$AN$14,Assumptions!M$187&lt;=Engagement_Register!$AH$14,Engagement_Register!$AO$14&gt;0),(Engagement_Register!$AM$14-Engagement_Register!$AJ$14)*Assumptions!M$200/Engagement_Register!$AO$14,0))</f>
        <v>349.249866666667</v>
      </c>
      <c r="N16" s="67" t="n">
        <f aca="false">IF(N$5="A",Inputs_Actuals!N48,IF(AND(Assumptions!N$187&gt;=Engagement_Register!$AN$14,Assumptions!N$187&lt;=Engagement_Register!$AH$14,Engagement_Register!$AO$14&gt;0),(Engagement_Register!$AM$14-Engagement_Register!$AJ$14)*Assumptions!N$200/Engagement_Register!$AO$14,0))</f>
        <v>336.450133333333</v>
      </c>
      <c r="O16" s="67" t="n">
        <f aca="false">IF(O$5="A",Inputs_Actuals!O48,IF(AND(Assumptions!O$187&gt;=Engagement_Register!$AN$14,Assumptions!O$187&lt;=Engagement_Register!$AH$14,Engagement_Register!$AO$14&gt;0),(Engagement_Register!$AM$14-Engagement_Register!$AJ$14)*Assumptions!O$200/Engagement_Register!$AO$14,0))</f>
        <v>0</v>
      </c>
      <c r="P16" s="67" t="n">
        <f aca="false">IF(P$5="A",Inputs_Actuals!P48,IF(AND(Assumptions!P$187&gt;=Engagement_Register!$AN$14,Assumptions!P$187&lt;=Engagement_Register!$AH$14,Engagement_Register!$AO$14&gt;0),(Engagement_Register!$AM$14-Engagement_Register!$AJ$14)*Assumptions!P$200/Engagement_Register!$AO$14,0))</f>
        <v>0</v>
      </c>
      <c r="Q16" s="67" t="n">
        <f aca="false">IF(Q$5="A",Inputs_Actuals!Q48,IF(AND(Assumptions!Q$187&gt;=Engagement_Register!$AN$14,Assumptions!Q$187&lt;=Engagement_Register!$AH$14,Engagement_Register!$AO$14&gt;0),(Engagement_Register!$AM$14-Engagement_Register!$AJ$14)*Assumptions!Q$200/Engagement_Register!$AO$14,0))</f>
        <v>0</v>
      </c>
      <c r="R16" s="67" t="n">
        <f aca="false">IF(R$5="A",Inputs_Actuals!R48,IF(AND(Assumptions!R$187&gt;=Engagement_Register!$AN$14,Assumptions!R$187&lt;=Engagement_Register!$AH$14,Engagement_Register!$AO$14&gt;0),(Engagement_Register!$AM$14-Engagement_Register!$AJ$14)*Assumptions!R$200/Engagement_Register!$AO$14,0))</f>
        <v>0</v>
      </c>
      <c r="S16" s="67" t="n">
        <f aca="false">IF(S$5="A",Inputs_Actuals!S48,IF(AND(Assumptions!S$187&gt;=Engagement_Register!$AN$14,Assumptions!S$187&lt;=Engagement_Register!$AH$14,Engagement_Register!$AO$14&gt;0),(Engagement_Register!$AM$14-Engagement_Register!$AJ$14)*Assumptions!S$200/Engagement_Register!$AO$14,0))</f>
        <v>0</v>
      </c>
      <c r="T16" s="67" t="n">
        <f aca="false">IF(T$5="A",Inputs_Actuals!T48,IF(AND(Assumptions!T$187&gt;=Engagement_Register!$AN$14,Assumptions!T$187&lt;=Engagement_Register!$AH$14,Engagement_Register!$AO$14&gt;0),(Engagement_Register!$AM$14-Engagement_Register!$AJ$14)*Assumptions!T$200/Engagement_Register!$AO$14,0))</f>
        <v>0</v>
      </c>
      <c r="U16" s="67" t="n">
        <f aca="false">IF(U$5="A",Inputs_Actuals!U48,IF(AND(Assumptions!U$187&gt;=Engagement_Register!$AN$14,Assumptions!U$187&lt;=Engagement_Register!$AH$14,Engagement_Register!$AO$14&gt;0),(Engagement_Register!$AM$14-Engagement_Register!$AJ$14)*Assumptions!U$200/Engagement_Register!$AO$14,0))</f>
        <v>0</v>
      </c>
      <c r="V16" s="67" t="n">
        <f aca="false">IF(V$5="A",Inputs_Actuals!V48,IF(AND(Assumptions!V$187&gt;=Engagement_Register!$AN$14,Assumptions!V$187&lt;=Engagement_Register!$AH$14,Engagement_Register!$AO$14&gt;0),(Engagement_Register!$AM$14-Engagement_Register!$AJ$14)*Assumptions!V$200/Engagement_Register!$AO$14,0))</f>
        <v>0</v>
      </c>
      <c r="W16" s="67" t="n">
        <f aca="false">IF(W$5="A",Inputs_Actuals!W48,IF(AND(Assumptions!W$187&gt;=Engagement_Register!$AN$14,Assumptions!W$187&lt;=Engagement_Register!$AH$14,Engagement_Register!$AO$14&gt;0),(Engagement_Register!$AM$14-Engagement_Register!$AJ$14)*Assumptions!W$200/Engagement_Register!$AO$14,0))</f>
        <v>0</v>
      </c>
      <c r="X16" s="67" t="n">
        <f aca="false">IF(X$5="A",Inputs_Actuals!X48,IF(AND(Assumptions!X$187&gt;=Engagement_Register!$AN$14,Assumptions!X$187&lt;=Engagement_Register!$AH$14,Engagement_Register!$AO$14&gt;0),(Engagement_Register!$AM$14-Engagement_Register!$AJ$14)*Assumptions!X$200/Engagement_Register!$AO$14,0))</f>
        <v>0</v>
      </c>
      <c r="Y16" s="67" t="n">
        <f aca="false">IF(Y$5="A",Inputs_Actuals!Y48,IF(AND(Assumptions!Y$187&gt;=Engagement_Register!$AN$14,Assumptions!Y$187&lt;=Engagement_Register!$AH$14,Engagement_Register!$AO$14&gt;0),(Engagement_Register!$AM$14-Engagement_Register!$AJ$14)*Assumptions!Y$200/Engagement_Register!$AO$14,0))</f>
        <v>0</v>
      </c>
      <c r="Z16" s="67" t="n">
        <f aca="false">IF(Z$5="A",Inputs_Actuals!Z48,IF(AND(Assumptions!Z$187&gt;=Engagement_Register!$AN$14,Assumptions!Z$187&lt;=Engagement_Register!$AH$14,Engagement_Register!$AO$14&gt;0),(Engagement_Register!$AM$14-Engagement_Register!$AJ$14)*Assumptions!Z$200/Engagement_Register!$AO$14,0))</f>
        <v>0</v>
      </c>
      <c r="AA16" s="67" t="n">
        <f aca="false">IF(AA$5="A",Inputs_Actuals!AA48,IF(AND(Assumptions!AA$187&gt;=Engagement_Register!$AN$14,Assumptions!AA$187&lt;=Engagement_Register!$AH$14,Engagement_Register!$AO$14&gt;0),(Engagement_Register!$AM$14-Engagement_Register!$AJ$14)*Assumptions!AA$200/Engagement_Register!$AO$14,0))</f>
        <v>0</v>
      </c>
      <c r="AB16" s="67" t="n">
        <f aca="false">IF(AB$5="A",Inputs_Actuals!AB48,IF(AND(Assumptions!AB$187&gt;=Engagement_Register!$AN$14,Assumptions!AB$187&lt;=Engagement_Register!$AH$14,Engagement_Register!$AO$14&gt;0),(Engagement_Register!$AM$14-Engagement_Register!$AJ$14)*Assumptions!AB$200/Engagement_Register!$AO$14,0))</f>
        <v>0</v>
      </c>
    </row>
    <row r="17" customFormat="false" ht="15" hidden="false" customHeight="false" outlineLevel="0" collapsed="false">
      <c r="A17" s="29" t="s">
        <v>806</v>
      </c>
      <c r="B17" s="60" t="s">
        <v>798</v>
      </c>
      <c r="C17" s="66" t="n">
        <f aca="false">SUM(E17:P17)</f>
        <v>1040</v>
      </c>
      <c r="D17" s="66" t="n">
        <f aca="false">SUM(Q17:AB17)</f>
        <v>0</v>
      </c>
      <c r="E17" s="67" t="n">
        <f aca="false">IF(E$5="A",Inputs_Actuals!E54,IF(AND(Assumptions!E$187&gt;=Engagement_Register!$AN$15,Assumptions!E$187&lt;=Engagement_Register!$AH$15,Engagement_Register!$AO$15&gt;0),(Engagement_Register!$AM$15-Engagement_Register!$AJ$15)*Assumptions!E$200/Engagement_Register!$AO$15,0))</f>
        <v>0</v>
      </c>
      <c r="F17" s="67" t="n">
        <f aca="false">IF(F$5="A",Inputs_Actuals!F54,IF(AND(Assumptions!F$187&gt;=Engagement_Register!$AN$15,Assumptions!F$187&lt;=Engagement_Register!$AH$15,Engagement_Register!$AO$15&gt;0),(Engagement_Register!$AM$15-Engagement_Register!$AJ$15)*Assumptions!F$200/Engagement_Register!$AO$15,0))</f>
        <v>0</v>
      </c>
      <c r="G17" s="67" t="n">
        <f aca="false">IF(G$5="A",Inputs_Actuals!G54,IF(AND(Assumptions!G$187&gt;=Engagement_Register!$AN$15,Assumptions!G$187&lt;=Engagement_Register!$AH$15,Engagement_Register!$AO$15&gt;0),(Engagement_Register!$AM$15-Engagement_Register!$AJ$15)*Assumptions!G$200/Engagement_Register!$AO$15,0))</f>
        <v>202.7</v>
      </c>
      <c r="H17" s="67" t="n">
        <f aca="false">IF(H$5="A",Inputs_Actuals!H54,IF(AND(Assumptions!H$187&gt;=Engagement_Register!$AN$15,Assumptions!H$187&lt;=Engagement_Register!$AH$15,Engagement_Register!$AO$15&gt;0),(Engagement_Register!$AM$15-Engagement_Register!$AJ$15)*Assumptions!H$200/Engagement_Register!$AO$15,0))</f>
        <v>169.3</v>
      </c>
      <c r="I17" s="67" t="n">
        <f aca="false">IF(I$5="A",Inputs_Actuals!I54,IF(AND(Assumptions!I$187&gt;=Engagement_Register!$AN$15,Assumptions!I$187&lt;=Engagement_Register!$AH$15,Engagement_Register!$AO$15&gt;0),(Engagement_Register!$AM$15-Engagement_Register!$AJ$15)*Assumptions!I$200/Engagement_Register!$AO$15,0))</f>
        <v>137.4</v>
      </c>
      <c r="J17" s="67" t="n">
        <f aca="false">IF(J$5="A",Inputs_Actuals!J54,IF(AND(Assumptions!J$187&gt;=Engagement_Register!$AN$15,Assumptions!J$187&lt;=Engagement_Register!$AH$15,Engagement_Register!$AO$15&gt;0),(Engagement_Register!$AM$15-Engagement_Register!$AJ$15)*Assumptions!J$200/Engagement_Register!$AO$15,0))</f>
        <v>175.6</v>
      </c>
      <c r="K17" s="67" t="n">
        <f aca="false">IF(K$5="A",Inputs_Actuals!K54,IF(AND(Assumptions!K$187&gt;=Engagement_Register!$AN$15,Assumptions!K$187&lt;=Engagement_Register!$AH$15,Engagement_Register!$AO$15&gt;0),(Engagement_Register!$AM$15-Engagement_Register!$AJ$15)*Assumptions!K$200/Engagement_Register!$AO$15,0))</f>
        <v>200.5</v>
      </c>
      <c r="L17" s="67" t="n">
        <f aca="false">IF(L$5="A",Inputs_Actuals!L54,IF(AND(Assumptions!L$187&gt;=Engagement_Register!$AN$15,Assumptions!L$187&lt;=Engagement_Register!$AH$15,Engagement_Register!$AO$15&gt;0),(Engagement_Register!$AM$15-Engagement_Register!$AJ$15)*Assumptions!L$200/Engagement_Register!$AO$15,0))</f>
        <v>154.5</v>
      </c>
      <c r="M17" s="67" t="n">
        <f aca="false">IF(M$5="A",Inputs_Actuals!M54,IF(AND(Assumptions!M$187&gt;=Engagement_Register!$AN$15,Assumptions!M$187&lt;=Engagement_Register!$AH$15,Engagement_Register!$AO$15&gt;0),(Engagement_Register!$AM$15-Engagement_Register!$AJ$15)*Assumptions!M$200/Engagement_Register!$AO$15,0))</f>
        <v>0</v>
      </c>
      <c r="N17" s="67" t="n">
        <f aca="false">IF(N$5="A",Inputs_Actuals!N54,IF(AND(Assumptions!N$187&gt;=Engagement_Register!$AN$15,Assumptions!N$187&lt;=Engagement_Register!$AH$15,Engagement_Register!$AO$15&gt;0),(Engagement_Register!$AM$15-Engagement_Register!$AJ$15)*Assumptions!N$200/Engagement_Register!$AO$15,0))</f>
        <v>0</v>
      </c>
      <c r="O17" s="67" t="n">
        <f aca="false">IF(O$5="A",Inputs_Actuals!O54,IF(AND(Assumptions!O$187&gt;=Engagement_Register!$AN$15,Assumptions!O$187&lt;=Engagement_Register!$AH$15,Engagement_Register!$AO$15&gt;0),(Engagement_Register!$AM$15-Engagement_Register!$AJ$15)*Assumptions!O$200/Engagement_Register!$AO$15,0))</f>
        <v>0</v>
      </c>
      <c r="P17" s="67" t="n">
        <f aca="false">IF(P$5="A",Inputs_Actuals!P54,IF(AND(Assumptions!P$187&gt;=Engagement_Register!$AN$15,Assumptions!P$187&lt;=Engagement_Register!$AH$15,Engagement_Register!$AO$15&gt;0),(Engagement_Register!$AM$15-Engagement_Register!$AJ$15)*Assumptions!P$200/Engagement_Register!$AO$15,0))</f>
        <v>0</v>
      </c>
      <c r="Q17" s="67" t="n">
        <f aca="false">IF(Q$5="A",Inputs_Actuals!Q54,IF(AND(Assumptions!Q$187&gt;=Engagement_Register!$AN$15,Assumptions!Q$187&lt;=Engagement_Register!$AH$15,Engagement_Register!$AO$15&gt;0),(Engagement_Register!$AM$15-Engagement_Register!$AJ$15)*Assumptions!Q$200/Engagement_Register!$AO$15,0))</f>
        <v>0</v>
      </c>
      <c r="R17" s="67" t="n">
        <f aca="false">IF(R$5="A",Inputs_Actuals!R54,IF(AND(Assumptions!R$187&gt;=Engagement_Register!$AN$15,Assumptions!R$187&lt;=Engagement_Register!$AH$15,Engagement_Register!$AO$15&gt;0),(Engagement_Register!$AM$15-Engagement_Register!$AJ$15)*Assumptions!R$200/Engagement_Register!$AO$15,0))</f>
        <v>0</v>
      </c>
      <c r="S17" s="67" t="n">
        <f aca="false">IF(S$5="A",Inputs_Actuals!S54,IF(AND(Assumptions!S$187&gt;=Engagement_Register!$AN$15,Assumptions!S$187&lt;=Engagement_Register!$AH$15,Engagement_Register!$AO$15&gt;0),(Engagement_Register!$AM$15-Engagement_Register!$AJ$15)*Assumptions!S$200/Engagement_Register!$AO$15,0))</f>
        <v>0</v>
      </c>
      <c r="T17" s="67" t="n">
        <f aca="false">IF(T$5="A",Inputs_Actuals!T54,IF(AND(Assumptions!T$187&gt;=Engagement_Register!$AN$15,Assumptions!T$187&lt;=Engagement_Register!$AH$15,Engagement_Register!$AO$15&gt;0),(Engagement_Register!$AM$15-Engagement_Register!$AJ$15)*Assumptions!T$200/Engagement_Register!$AO$15,0))</f>
        <v>0</v>
      </c>
      <c r="U17" s="67" t="n">
        <f aca="false">IF(U$5="A",Inputs_Actuals!U54,IF(AND(Assumptions!U$187&gt;=Engagement_Register!$AN$15,Assumptions!U$187&lt;=Engagement_Register!$AH$15,Engagement_Register!$AO$15&gt;0),(Engagement_Register!$AM$15-Engagement_Register!$AJ$15)*Assumptions!U$200/Engagement_Register!$AO$15,0))</f>
        <v>0</v>
      </c>
      <c r="V17" s="67" t="n">
        <f aca="false">IF(V$5="A",Inputs_Actuals!V54,IF(AND(Assumptions!V$187&gt;=Engagement_Register!$AN$15,Assumptions!V$187&lt;=Engagement_Register!$AH$15,Engagement_Register!$AO$15&gt;0),(Engagement_Register!$AM$15-Engagement_Register!$AJ$15)*Assumptions!V$200/Engagement_Register!$AO$15,0))</f>
        <v>0</v>
      </c>
      <c r="W17" s="67" t="n">
        <f aca="false">IF(W$5="A",Inputs_Actuals!W54,IF(AND(Assumptions!W$187&gt;=Engagement_Register!$AN$15,Assumptions!W$187&lt;=Engagement_Register!$AH$15,Engagement_Register!$AO$15&gt;0),(Engagement_Register!$AM$15-Engagement_Register!$AJ$15)*Assumptions!W$200/Engagement_Register!$AO$15,0))</f>
        <v>0</v>
      </c>
      <c r="X17" s="67" t="n">
        <f aca="false">IF(X$5="A",Inputs_Actuals!X54,IF(AND(Assumptions!X$187&gt;=Engagement_Register!$AN$15,Assumptions!X$187&lt;=Engagement_Register!$AH$15,Engagement_Register!$AO$15&gt;0),(Engagement_Register!$AM$15-Engagement_Register!$AJ$15)*Assumptions!X$200/Engagement_Register!$AO$15,0))</f>
        <v>0</v>
      </c>
      <c r="Y17" s="67" t="n">
        <f aca="false">IF(Y$5="A",Inputs_Actuals!Y54,IF(AND(Assumptions!Y$187&gt;=Engagement_Register!$AN$15,Assumptions!Y$187&lt;=Engagement_Register!$AH$15,Engagement_Register!$AO$15&gt;0),(Engagement_Register!$AM$15-Engagement_Register!$AJ$15)*Assumptions!Y$200/Engagement_Register!$AO$15,0))</f>
        <v>0</v>
      </c>
      <c r="Z17" s="67" t="n">
        <f aca="false">IF(Z$5="A",Inputs_Actuals!Z54,IF(AND(Assumptions!Z$187&gt;=Engagement_Register!$AN$15,Assumptions!Z$187&lt;=Engagement_Register!$AH$15,Engagement_Register!$AO$15&gt;0),(Engagement_Register!$AM$15-Engagement_Register!$AJ$15)*Assumptions!Z$200/Engagement_Register!$AO$15,0))</f>
        <v>0</v>
      </c>
      <c r="AA17" s="67" t="n">
        <f aca="false">IF(AA$5="A",Inputs_Actuals!AA54,IF(AND(Assumptions!AA$187&gt;=Engagement_Register!$AN$15,Assumptions!AA$187&lt;=Engagement_Register!$AH$15,Engagement_Register!$AO$15&gt;0),(Engagement_Register!$AM$15-Engagement_Register!$AJ$15)*Assumptions!AA$200/Engagement_Register!$AO$15,0))</f>
        <v>0</v>
      </c>
      <c r="AB17" s="67" t="n">
        <f aca="false">IF(AB$5="A",Inputs_Actuals!AB54,IF(AND(Assumptions!AB$187&gt;=Engagement_Register!$AN$15,Assumptions!AB$187&lt;=Engagement_Register!$AH$15,Engagement_Register!$AO$15&gt;0),(Engagement_Register!$AM$15-Engagement_Register!$AJ$15)*Assumptions!AB$200/Engagement_Register!$AO$15,0))</f>
        <v>0</v>
      </c>
    </row>
    <row r="18" customFormat="false" ht="15" hidden="false" customHeight="false" outlineLevel="0" collapsed="false">
      <c r="A18" s="29" t="s">
        <v>807</v>
      </c>
      <c r="B18" s="60" t="s">
        <v>798</v>
      </c>
      <c r="C18" s="66" t="n">
        <f aca="false">SUM(E18:P18)</f>
        <v>1469.44</v>
      </c>
      <c r="D18" s="66" t="n">
        <f aca="false">SUM(Q18:AB18)</f>
        <v>0</v>
      </c>
      <c r="E18" s="67" t="n">
        <f aca="false">IF(E$5="A",Inputs_Actuals!E59,IF(AND(Assumptions!E$187&gt;=Engagement_Register!$AN$16,Assumptions!E$187&lt;=Engagement_Register!$AH$16,Engagement_Register!$AO$16&gt;0),(Engagement_Register!$AM$16-Engagement_Register!$AJ$16)*Assumptions!E$200/Engagement_Register!$AO$16,0))</f>
        <v>0</v>
      </c>
      <c r="F18" s="67" t="n">
        <f aca="false">IF(F$5="A",Inputs_Actuals!F59,IF(AND(Assumptions!F$187&gt;=Engagement_Register!$AN$16,Assumptions!F$187&lt;=Engagement_Register!$AH$16,Engagement_Register!$AO$16&gt;0),(Engagement_Register!$AM$16-Engagement_Register!$AJ$16)*Assumptions!F$200/Engagement_Register!$AO$16,0))</f>
        <v>0</v>
      </c>
      <c r="G18" s="67" t="n">
        <f aca="false">IF(G$5="A",Inputs_Actuals!G59,IF(AND(Assumptions!G$187&gt;=Engagement_Register!$AN$16,Assumptions!G$187&lt;=Engagement_Register!$AH$16,Engagement_Register!$AO$16&gt;0),(Engagement_Register!$AM$16-Engagement_Register!$AJ$16)*Assumptions!G$200/Engagement_Register!$AO$16,0))</f>
        <v>183.1</v>
      </c>
      <c r="H18" s="67" t="n">
        <f aca="false">IF(H$5="A",Inputs_Actuals!H59,IF(AND(Assumptions!H$187&gt;=Engagement_Register!$AN$16,Assumptions!H$187&lt;=Engagement_Register!$AH$16,Engagement_Register!$AO$16&gt;0),(Engagement_Register!$AM$16-Engagement_Register!$AJ$16)*Assumptions!H$200/Engagement_Register!$AO$16,0))</f>
        <v>162.9</v>
      </c>
      <c r="I18" s="67" t="n">
        <f aca="false">IF(I$5="A",Inputs_Actuals!I59,IF(AND(Assumptions!I$187&gt;=Engagement_Register!$AN$16,Assumptions!I$187&lt;=Engagement_Register!$AH$16,Engagement_Register!$AO$16&gt;0),(Engagement_Register!$AM$16-Engagement_Register!$AJ$16)*Assumptions!I$200/Engagement_Register!$AO$16,0))</f>
        <v>142.1</v>
      </c>
      <c r="J18" s="67" t="n">
        <f aca="false">IF(J$5="A",Inputs_Actuals!J59,IF(AND(Assumptions!J$187&gt;=Engagement_Register!$AN$16,Assumptions!J$187&lt;=Engagement_Register!$AH$16,Engagement_Register!$AO$16&gt;0),(Engagement_Register!$AM$16-Engagement_Register!$AJ$16)*Assumptions!J$200/Engagement_Register!$AO$16,0))</f>
        <v>192.4</v>
      </c>
      <c r="K18" s="67" t="n">
        <f aca="false">IF(K$5="A",Inputs_Actuals!K59,IF(AND(Assumptions!K$187&gt;=Engagement_Register!$AN$16,Assumptions!K$187&lt;=Engagement_Register!$AH$16,Engagement_Register!$AO$16&gt;0),(Engagement_Register!$AM$16-Engagement_Register!$AJ$16)*Assumptions!K$200/Engagement_Register!$AO$16,0))</f>
        <v>216.2</v>
      </c>
      <c r="L18" s="67" t="n">
        <f aca="false">IF(L$5="A",Inputs_Actuals!L59,IF(AND(Assumptions!L$187&gt;=Engagement_Register!$AN$16,Assumptions!L$187&lt;=Engagement_Register!$AH$16,Engagement_Register!$AO$16&gt;0),(Engagement_Register!$AM$16-Engagement_Register!$AJ$16)*Assumptions!L$200/Engagement_Register!$AO$16,0))</f>
        <v>164.5</v>
      </c>
      <c r="M18" s="67" t="n">
        <f aca="false">IF(M$5="A",Inputs_Actuals!M59,IF(AND(Assumptions!M$187&gt;=Engagement_Register!$AN$16,Assumptions!M$187&lt;=Engagement_Register!$AH$16,Engagement_Register!$AO$16&gt;0),(Engagement_Register!$AM$16-Engagement_Register!$AJ$16)*Assumptions!M$200/Engagement_Register!$AO$16,0))</f>
        <v>207.93024</v>
      </c>
      <c r="N18" s="67" t="n">
        <f aca="false">IF(N$5="A",Inputs_Actuals!N59,IF(AND(Assumptions!N$187&gt;=Engagement_Register!$AN$16,Assumptions!N$187&lt;=Engagement_Register!$AH$16,Engagement_Register!$AO$16&gt;0),(Engagement_Register!$AM$16-Engagement_Register!$AJ$16)*Assumptions!N$200/Engagement_Register!$AO$16,0))</f>
        <v>200.30976</v>
      </c>
      <c r="O18" s="67" t="n">
        <f aca="false">IF(O$5="A",Inputs_Actuals!O59,IF(AND(Assumptions!O$187&gt;=Engagement_Register!$AN$16,Assumptions!O$187&lt;=Engagement_Register!$AH$16,Engagement_Register!$AO$16&gt;0),(Engagement_Register!$AM$16-Engagement_Register!$AJ$16)*Assumptions!O$200/Engagement_Register!$AO$16,0))</f>
        <v>0</v>
      </c>
      <c r="P18" s="67" t="n">
        <f aca="false">IF(P$5="A",Inputs_Actuals!P59,IF(AND(Assumptions!P$187&gt;=Engagement_Register!$AN$16,Assumptions!P$187&lt;=Engagement_Register!$AH$16,Engagement_Register!$AO$16&gt;0),(Engagement_Register!$AM$16-Engagement_Register!$AJ$16)*Assumptions!P$200/Engagement_Register!$AO$16,0))</f>
        <v>0</v>
      </c>
      <c r="Q18" s="67" t="n">
        <f aca="false">IF(Q$5="A",Inputs_Actuals!Q59,IF(AND(Assumptions!Q$187&gt;=Engagement_Register!$AN$16,Assumptions!Q$187&lt;=Engagement_Register!$AH$16,Engagement_Register!$AO$16&gt;0),(Engagement_Register!$AM$16-Engagement_Register!$AJ$16)*Assumptions!Q$200/Engagement_Register!$AO$16,0))</f>
        <v>0</v>
      </c>
      <c r="R18" s="67" t="n">
        <f aca="false">IF(R$5="A",Inputs_Actuals!R59,IF(AND(Assumptions!R$187&gt;=Engagement_Register!$AN$16,Assumptions!R$187&lt;=Engagement_Register!$AH$16,Engagement_Register!$AO$16&gt;0),(Engagement_Register!$AM$16-Engagement_Register!$AJ$16)*Assumptions!R$200/Engagement_Register!$AO$16,0))</f>
        <v>0</v>
      </c>
      <c r="S18" s="67" t="n">
        <f aca="false">IF(S$5="A",Inputs_Actuals!S59,IF(AND(Assumptions!S$187&gt;=Engagement_Register!$AN$16,Assumptions!S$187&lt;=Engagement_Register!$AH$16,Engagement_Register!$AO$16&gt;0),(Engagement_Register!$AM$16-Engagement_Register!$AJ$16)*Assumptions!S$200/Engagement_Register!$AO$16,0))</f>
        <v>0</v>
      </c>
      <c r="T18" s="67" t="n">
        <f aca="false">IF(T$5="A",Inputs_Actuals!T59,IF(AND(Assumptions!T$187&gt;=Engagement_Register!$AN$16,Assumptions!T$187&lt;=Engagement_Register!$AH$16,Engagement_Register!$AO$16&gt;0),(Engagement_Register!$AM$16-Engagement_Register!$AJ$16)*Assumptions!T$200/Engagement_Register!$AO$16,0))</f>
        <v>0</v>
      </c>
      <c r="U18" s="67" t="n">
        <f aca="false">IF(U$5="A",Inputs_Actuals!U59,IF(AND(Assumptions!U$187&gt;=Engagement_Register!$AN$16,Assumptions!U$187&lt;=Engagement_Register!$AH$16,Engagement_Register!$AO$16&gt;0),(Engagement_Register!$AM$16-Engagement_Register!$AJ$16)*Assumptions!U$200/Engagement_Register!$AO$16,0))</f>
        <v>0</v>
      </c>
      <c r="V18" s="67" t="n">
        <f aca="false">IF(V$5="A",Inputs_Actuals!V59,IF(AND(Assumptions!V$187&gt;=Engagement_Register!$AN$16,Assumptions!V$187&lt;=Engagement_Register!$AH$16,Engagement_Register!$AO$16&gt;0),(Engagement_Register!$AM$16-Engagement_Register!$AJ$16)*Assumptions!V$200/Engagement_Register!$AO$16,0))</f>
        <v>0</v>
      </c>
      <c r="W18" s="67" t="n">
        <f aca="false">IF(W$5="A",Inputs_Actuals!W59,IF(AND(Assumptions!W$187&gt;=Engagement_Register!$AN$16,Assumptions!W$187&lt;=Engagement_Register!$AH$16,Engagement_Register!$AO$16&gt;0),(Engagement_Register!$AM$16-Engagement_Register!$AJ$16)*Assumptions!W$200/Engagement_Register!$AO$16,0))</f>
        <v>0</v>
      </c>
      <c r="X18" s="67" t="n">
        <f aca="false">IF(X$5="A",Inputs_Actuals!X59,IF(AND(Assumptions!X$187&gt;=Engagement_Register!$AN$16,Assumptions!X$187&lt;=Engagement_Register!$AH$16,Engagement_Register!$AO$16&gt;0),(Engagement_Register!$AM$16-Engagement_Register!$AJ$16)*Assumptions!X$200/Engagement_Register!$AO$16,0))</f>
        <v>0</v>
      </c>
      <c r="Y18" s="67" t="n">
        <f aca="false">IF(Y$5="A",Inputs_Actuals!Y59,IF(AND(Assumptions!Y$187&gt;=Engagement_Register!$AN$16,Assumptions!Y$187&lt;=Engagement_Register!$AH$16,Engagement_Register!$AO$16&gt;0),(Engagement_Register!$AM$16-Engagement_Register!$AJ$16)*Assumptions!Y$200/Engagement_Register!$AO$16,0))</f>
        <v>0</v>
      </c>
      <c r="Z18" s="67" t="n">
        <f aca="false">IF(Z$5="A",Inputs_Actuals!Z59,IF(AND(Assumptions!Z$187&gt;=Engagement_Register!$AN$16,Assumptions!Z$187&lt;=Engagement_Register!$AH$16,Engagement_Register!$AO$16&gt;0),(Engagement_Register!$AM$16-Engagement_Register!$AJ$16)*Assumptions!Z$200/Engagement_Register!$AO$16,0))</f>
        <v>0</v>
      </c>
      <c r="AA18" s="67" t="n">
        <f aca="false">IF(AA$5="A",Inputs_Actuals!AA59,IF(AND(Assumptions!AA$187&gt;=Engagement_Register!$AN$16,Assumptions!AA$187&lt;=Engagement_Register!$AH$16,Engagement_Register!$AO$16&gt;0),(Engagement_Register!$AM$16-Engagement_Register!$AJ$16)*Assumptions!AA$200/Engagement_Register!$AO$16,0))</f>
        <v>0</v>
      </c>
      <c r="AB18" s="67" t="n">
        <f aca="false">IF(AB$5="A",Inputs_Actuals!AB59,IF(AND(Assumptions!AB$187&gt;=Engagement_Register!$AN$16,Assumptions!AB$187&lt;=Engagement_Register!$AH$16,Engagement_Register!$AO$16&gt;0),(Engagement_Register!$AM$16-Engagement_Register!$AJ$16)*Assumptions!AB$200/Engagement_Register!$AO$16,0))</f>
        <v>0</v>
      </c>
    </row>
    <row r="19" customFormat="false" ht="15" hidden="false" customHeight="false" outlineLevel="0" collapsed="false">
      <c r="A19" s="29" t="s">
        <v>808</v>
      </c>
      <c r="B19" s="60" t="s">
        <v>798</v>
      </c>
      <c r="C19" s="66" t="n">
        <f aca="false">SUM(E19:P19)</f>
        <v>888.755</v>
      </c>
      <c r="D19" s="66" t="n">
        <f aca="false">SUM(Q19:AB19)</f>
        <v>0</v>
      </c>
      <c r="E19" s="67" t="n">
        <f aca="false">IF(E$5="A",Inputs_Actuals!E65,IF(AND(Assumptions!E$187&gt;=Engagement_Register!$AN$17,Assumptions!E$187&lt;=Engagement_Register!$AH$17,Engagement_Register!$AO$17&gt;0),(Engagement_Register!$AM$17-Engagement_Register!$AJ$17)*Assumptions!E$200/Engagement_Register!$AO$17,0))</f>
        <v>0</v>
      </c>
      <c r="F19" s="67" t="n">
        <f aca="false">IF(F$5="A",Inputs_Actuals!F65,IF(AND(Assumptions!F$187&gt;=Engagement_Register!$AN$17,Assumptions!F$187&lt;=Engagement_Register!$AH$17,Engagement_Register!$AO$17&gt;0),(Engagement_Register!$AM$17-Engagement_Register!$AJ$17)*Assumptions!F$200/Engagement_Register!$AO$17,0))</f>
        <v>0</v>
      </c>
      <c r="G19" s="67" t="n">
        <f aca="false">IF(G$5="A",Inputs_Actuals!G65,IF(AND(Assumptions!G$187&gt;=Engagement_Register!$AN$17,Assumptions!G$187&lt;=Engagement_Register!$AH$17,Engagement_Register!$AO$17&gt;0),(Engagement_Register!$AM$17-Engagement_Register!$AJ$17)*Assumptions!G$200/Engagement_Register!$AO$17,0))</f>
        <v>0</v>
      </c>
      <c r="H19" s="67" t="n">
        <f aca="false">IF(H$5="A",Inputs_Actuals!H65,IF(AND(Assumptions!H$187&gt;=Engagement_Register!$AN$17,Assumptions!H$187&lt;=Engagement_Register!$AH$17,Engagement_Register!$AO$17&gt;0),(Engagement_Register!$AM$17-Engagement_Register!$AJ$17)*Assumptions!H$200/Engagement_Register!$AO$17,0))</f>
        <v>133.7</v>
      </c>
      <c r="I19" s="67" t="n">
        <f aca="false">IF(I$5="A",Inputs_Actuals!I65,IF(AND(Assumptions!I$187&gt;=Engagement_Register!$AN$17,Assumptions!I$187&lt;=Engagement_Register!$AH$17,Engagement_Register!$AO$17&gt;0),(Engagement_Register!$AM$17-Engagement_Register!$AJ$17)*Assumptions!I$200/Engagement_Register!$AO$17,0))</f>
        <v>116.9</v>
      </c>
      <c r="J19" s="67" t="n">
        <f aca="false">IF(J$5="A",Inputs_Actuals!J65,IF(AND(Assumptions!J$187&gt;=Engagement_Register!$AN$17,Assumptions!J$187&lt;=Engagement_Register!$AH$17,Engagement_Register!$AO$17&gt;0),(Engagement_Register!$AM$17-Engagement_Register!$AJ$17)*Assumptions!J$200/Engagement_Register!$AO$17,0))</f>
        <v>145.3</v>
      </c>
      <c r="K19" s="67" t="n">
        <f aca="false">IF(K$5="A",Inputs_Actuals!K65,IF(AND(Assumptions!K$187&gt;=Engagement_Register!$AN$17,Assumptions!K$187&lt;=Engagement_Register!$AH$17,Engagement_Register!$AO$17&gt;0),(Engagement_Register!$AM$17-Engagement_Register!$AJ$17)*Assumptions!K$200/Engagement_Register!$AO$17,0))</f>
        <v>178.8</v>
      </c>
      <c r="L19" s="67" t="n">
        <f aca="false">IF(L$5="A",Inputs_Actuals!L65,IF(AND(Assumptions!L$187&gt;=Engagement_Register!$AN$17,Assumptions!L$187&lt;=Engagement_Register!$AH$17,Engagement_Register!$AO$17&gt;0),(Engagement_Register!$AM$17-Engagement_Register!$AJ$17)*Assumptions!L$200/Engagement_Register!$AO$17,0))</f>
        <v>130.2</v>
      </c>
      <c r="M19" s="67" t="n">
        <f aca="false">IF(M$5="A",Inputs_Actuals!M65,IF(AND(Assumptions!M$187&gt;=Engagement_Register!$AN$17,Assumptions!M$187&lt;=Engagement_Register!$AH$17,Engagement_Register!$AO$17&gt;0),(Engagement_Register!$AM$17-Engagement_Register!$AJ$17)*Assumptions!M$200/Engagement_Register!$AO$17,0))</f>
        <v>183.855</v>
      </c>
      <c r="N19" s="67" t="n">
        <f aca="false">IF(N$5="A",Inputs_Actuals!N65,IF(AND(Assumptions!N$187&gt;=Engagement_Register!$AN$17,Assumptions!N$187&lt;=Engagement_Register!$AH$17,Engagement_Register!$AO$17&gt;0),(Engagement_Register!$AM$17-Engagement_Register!$AJ$17)*Assumptions!N$200/Engagement_Register!$AO$17,0))</f>
        <v>0</v>
      </c>
      <c r="O19" s="67" t="n">
        <f aca="false">IF(O$5="A",Inputs_Actuals!O65,IF(AND(Assumptions!O$187&gt;=Engagement_Register!$AN$17,Assumptions!O$187&lt;=Engagement_Register!$AH$17,Engagement_Register!$AO$17&gt;0),(Engagement_Register!$AM$17-Engagement_Register!$AJ$17)*Assumptions!O$200/Engagement_Register!$AO$17,0))</f>
        <v>0</v>
      </c>
      <c r="P19" s="67" t="n">
        <f aca="false">IF(P$5="A",Inputs_Actuals!P65,IF(AND(Assumptions!P$187&gt;=Engagement_Register!$AN$17,Assumptions!P$187&lt;=Engagement_Register!$AH$17,Engagement_Register!$AO$17&gt;0),(Engagement_Register!$AM$17-Engagement_Register!$AJ$17)*Assumptions!P$200/Engagement_Register!$AO$17,0))</f>
        <v>0</v>
      </c>
      <c r="Q19" s="67" t="n">
        <f aca="false">IF(Q$5="A",Inputs_Actuals!Q65,IF(AND(Assumptions!Q$187&gt;=Engagement_Register!$AN$17,Assumptions!Q$187&lt;=Engagement_Register!$AH$17,Engagement_Register!$AO$17&gt;0),(Engagement_Register!$AM$17-Engagement_Register!$AJ$17)*Assumptions!Q$200/Engagement_Register!$AO$17,0))</f>
        <v>0</v>
      </c>
      <c r="R19" s="67" t="n">
        <f aca="false">IF(R$5="A",Inputs_Actuals!R65,IF(AND(Assumptions!R$187&gt;=Engagement_Register!$AN$17,Assumptions!R$187&lt;=Engagement_Register!$AH$17,Engagement_Register!$AO$17&gt;0),(Engagement_Register!$AM$17-Engagement_Register!$AJ$17)*Assumptions!R$200/Engagement_Register!$AO$17,0))</f>
        <v>0</v>
      </c>
      <c r="S19" s="67" t="n">
        <f aca="false">IF(S$5="A",Inputs_Actuals!S65,IF(AND(Assumptions!S$187&gt;=Engagement_Register!$AN$17,Assumptions!S$187&lt;=Engagement_Register!$AH$17,Engagement_Register!$AO$17&gt;0),(Engagement_Register!$AM$17-Engagement_Register!$AJ$17)*Assumptions!S$200/Engagement_Register!$AO$17,0))</f>
        <v>0</v>
      </c>
      <c r="T19" s="67" t="n">
        <f aca="false">IF(T$5="A",Inputs_Actuals!T65,IF(AND(Assumptions!T$187&gt;=Engagement_Register!$AN$17,Assumptions!T$187&lt;=Engagement_Register!$AH$17,Engagement_Register!$AO$17&gt;0),(Engagement_Register!$AM$17-Engagement_Register!$AJ$17)*Assumptions!T$200/Engagement_Register!$AO$17,0))</f>
        <v>0</v>
      </c>
      <c r="U19" s="67" t="n">
        <f aca="false">IF(U$5="A",Inputs_Actuals!U65,IF(AND(Assumptions!U$187&gt;=Engagement_Register!$AN$17,Assumptions!U$187&lt;=Engagement_Register!$AH$17,Engagement_Register!$AO$17&gt;0),(Engagement_Register!$AM$17-Engagement_Register!$AJ$17)*Assumptions!U$200/Engagement_Register!$AO$17,0))</f>
        <v>0</v>
      </c>
      <c r="V19" s="67" t="n">
        <f aca="false">IF(V$5="A",Inputs_Actuals!V65,IF(AND(Assumptions!V$187&gt;=Engagement_Register!$AN$17,Assumptions!V$187&lt;=Engagement_Register!$AH$17,Engagement_Register!$AO$17&gt;0),(Engagement_Register!$AM$17-Engagement_Register!$AJ$17)*Assumptions!V$200/Engagement_Register!$AO$17,0))</f>
        <v>0</v>
      </c>
      <c r="W19" s="67" t="n">
        <f aca="false">IF(W$5="A",Inputs_Actuals!W65,IF(AND(Assumptions!W$187&gt;=Engagement_Register!$AN$17,Assumptions!W$187&lt;=Engagement_Register!$AH$17,Engagement_Register!$AO$17&gt;0),(Engagement_Register!$AM$17-Engagement_Register!$AJ$17)*Assumptions!W$200/Engagement_Register!$AO$17,0))</f>
        <v>0</v>
      </c>
      <c r="X19" s="67" t="n">
        <f aca="false">IF(X$5="A",Inputs_Actuals!X65,IF(AND(Assumptions!X$187&gt;=Engagement_Register!$AN$17,Assumptions!X$187&lt;=Engagement_Register!$AH$17,Engagement_Register!$AO$17&gt;0),(Engagement_Register!$AM$17-Engagement_Register!$AJ$17)*Assumptions!X$200/Engagement_Register!$AO$17,0))</f>
        <v>0</v>
      </c>
      <c r="Y19" s="67" t="n">
        <f aca="false">IF(Y$5="A",Inputs_Actuals!Y65,IF(AND(Assumptions!Y$187&gt;=Engagement_Register!$AN$17,Assumptions!Y$187&lt;=Engagement_Register!$AH$17,Engagement_Register!$AO$17&gt;0),(Engagement_Register!$AM$17-Engagement_Register!$AJ$17)*Assumptions!Y$200/Engagement_Register!$AO$17,0))</f>
        <v>0</v>
      </c>
      <c r="Z19" s="67" t="n">
        <f aca="false">IF(Z$5="A",Inputs_Actuals!Z65,IF(AND(Assumptions!Z$187&gt;=Engagement_Register!$AN$17,Assumptions!Z$187&lt;=Engagement_Register!$AH$17,Engagement_Register!$AO$17&gt;0),(Engagement_Register!$AM$17-Engagement_Register!$AJ$17)*Assumptions!Z$200/Engagement_Register!$AO$17,0))</f>
        <v>0</v>
      </c>
      <c r="AA19" s="67" t="n">
        <f aca="false">IF(AA$5="A",Inputs_Actuals!AA65,IF(AND(Assumptions!AA$187&gt;=Engagement_Register!$AN$17,Assumptions!AA$187&lt;=Engagement_Register!$AH$17,Engagement_Register!$AO$17&gt;0),(Engagement_Register!$AM$17-Engagement_Register!$AJ$17)*Assumptions!AA$200/Engagement_Register!$AO$17,0))</f>
        <v>0</v>
      </c>
      <c r="AB19" s="67" t="n">
        <f aca="false">IF(AB$5="A",Inputs_Actuals!AB65,IF(AND(Assumptions!AB$187&gt;=Engagement_Register!$AN$17,Assumptions!AB$187&lt;=Engagement_Register!$AH$17,Engagement_Register!$AO$17&gt;0),(Engagement_Register!$AM$17-Engagement_Register!$AJ$17)*Assumptions!AB$200/Engagement_Register!$AO$17,0))</f>
        <v>0</v>
      </c>
    </row>
    <row r="20" customFormat="false" ht="15" hidden="false" customHeight="false" outlineLevel="0" collapsed="false">
      <c r="A20" s="29" t="s">
        <v>809</v>
      </c>
      <c r="B20" s="60" t="s">
        <v>798</v>
      </c>
      <c r="C20" s="66" t="n">
        <f aca="false">SUM(E20:P20)</f>
        <v>3664.9</v>
      </c>
      <c r="D20" s="66" t="n">
        <f aca="false">SUM(Q20:AB20)</f>
        <v>0</v>
      </c>
      <c r="E20" s="67" t="n">
        <f aca="false">IF(E$5="A",Inputs_Actuals!E70,IF(AND(Assumptions!E$187&gt;=Engagement_Register!$AN$18,Assumptions!E$187&lt;=Engagement_Register!$AH$18,Engagement_Register!$AO$18&gt;0),(Engagement_Register!$AM$18-Engagement_Register!$AJ$18)*Assumptions!E$200/Engagement_Register!$AO$18,0))</f>
        <v>0</v>
      </c>
      <c r="F20" s="67" t="n">
        <f aca="false">IF(F$5="A",Inputs_Actuals!F70,IF(AND(Assumptions!F$187&gt;=Engagement_Register!$AN$18,Assumptions!F$187&lt;=Engagement_Register!$AH$18,Engagement_Register!$AO$18&gt;0),(Engagement_Register!$AM$18-Engagement_Register!$AJ$18)*Assumptions!F$200/Engagement_Register!$AO$18,0))</f>
        <v>0</v>
      </c>
      <c r="G20" s="67" t="n">
        <f aca="false">IF(G$5="A",Inputs_Actuals!G70,IF(AND(Assumptions!G$187&gt;=Engagement_Register!$AN$18,Assumptions!G$187&lt;=Engagement_Register!$AH$18,Engagement_Register!$AO$18&gt;0),(Engagement_Register!$AM$18-Engagement_Register!$AJ$18)*Assumptions!G$200/Engagement_Register!$AO$18,0))</f>
        <v>0</v>
      </c>
      <c r="H20" s="67" t="n">
        <f aca="false">IF(H$5="A",Inputs_Actuals!H70,IF(AND(Assumptions!H$187&gt;=Engagement_Register!$AN$18,Assumptions!H$187&lt;=Engagement_Register!$AH$18,Engagement_Register!$AO$18&gt;0),(Engagement_Register!$AM$18-Engagement_Register!$AJ$18)*Assumptions!H$200/Engagement_Register!$AO$18,0))</f>
        <v>0</v>
      </c>
      <c r="I20" s="67" t="n">
        <f aca="false">IF(I$5="A",Inputs_Actuals!I70,IF(AND(Assumptions!I$187&gt;=Engagement_Register!$AN$18,Assumptions!I$187&lt;=Engagement_Register!$AH$18,Engagement_Register!$AO$18&gt;0),(Engagement_Register!$AM$18-Engagement_Register!$AJ$18)*Assumptions!I$200/Engagement_Register!$AO$18,0))</f>
        <v>350.1</v>
      </c>
      <c r="J20" s="67" t="n">
        <f aca="false">IF(J$5="A",Inputs_Actuals!J70,IF(AND(Assumptions!J$187&gt;=Engagement_Register!$AN$18,Assumptions!J$187&lt;=Engagement_Register!$AH$18,Engagement_Register!$AO$18&gt;0),(Engagement_Register!$AM$18-Engagement_Register!$AJ$18)*Assumptions!J$200/Engagement_Register!$AO$18,0))</f>
        <v>462.3</v>
      </c>
      <c r="K20" s="67" t="n">
        <f aca="false">IF(K$5="A",Inputs_Actuals!K70,IF(AND(Assumptions!K$187&gt;=Engagement_Register!$AN$18,Assumptions!K$187&lt;=Engagement_Register!$AH$18,Engagement_Register!$AO$18&gt;0),(Engagement_Register!$AM$18-Engagement_Register!$AJ$18)*Assumptions!K$200/Engagement_Register!$AO$18,0))</f>
        <v>478.5</v>
      </c>
      <c r="L20" s="67" t="n">
        <f aca="false">IF(L$5="A",Inputs_Actuals!L70,IF(AND(Assumptions!L$187&gt;=Engagement_Register!$AN$18,Assumptions!L$187&lt;=Engagement_Register!$AH$18,Engagement_Register!$AO$18&gt;0),(Engagement_Register!$AM$18-Engagement_Register!$AJ$18)*Assumptions!L$200/Engagement_Register!$AO$18,0))</f>
        <v>418.3</v>
      </c>
      <c r="M20" s="67" t="n">
        <f aca="false">IF(M$5="A",Inputs_Actuals!M70,IF(AND(Assumptions!M$187&gt;=Engagement_Register!$AN$18,Assumptions!M$187&lt;=Engagement_Register!$AH$18,Engagement_Register!$AO$18&gt;0),(Engagement_Register!$AM$18-Engagement_Register!$AJ$18)*Assumptions!M$200/Engagement_Register!$AO$18,0))</f>
        <v>502.06814516129</v>
      </c>
      <c r="N20" s="67" t="n">
        <f aca="false">IF(N$5="A",Inputs_Actuals!N70,IF(AND(Assumptions!N$187&gt;=Engagement_Register!$AN$18,Assumptions!N$187&lt;=Engagement_Register!$AH$18,Engagement_Register!$AO$18&gt;0),(Engagement_Register!$AM$18-Engagement_Register!$AJ$18)*Assumptions!N$200/Engagement_Register!$AO$18,0))</f>
        <v>483.667741935484</v>
      </c>
      <c r="O20" s="67" t="n">
        <f aca="false">IF(O$5="A",Inputs_Actuals!O70,IF(AND(Assumptions!O$187&gt;=Engagement_Register!$AN$18,Assumptions!O$187&lt;=Engagement_Register!$AH$18,Engagement_Register!$AO$18&gt;0),(Engagement_Register!$AM$18-Engagement_Register!$AJ$18)*Assumptions!O$200/Engagement_Register!$AO$18,0))</f>
        <v>478.410483870968</v>
      </c>
      <c r="P20" s="67" t="n">
        <f aca="false">IF(P$5="A",Inputs_Actuals!P70,IF(AND(Assumptions!P$187&gt;=Engagement_Register!$AN$18,Assumptions!P$187&lt;=Engagement_Register!$AH$18,Engagement_Register!$AO$18&gt;0),(Engagement_Register!$AM$18-Engagement_Register!$AJ$18)*Assumptions!P$200/Engagement_Register!$AO$18,0))</f>
        <v>491.553629032258</v>
      </c>
      <c r="Q20" s="67" t="n">
        <f aca="false">IF(Q$5="A",Inputs_Actuals!Q70,IF(AND(Assumptions!Q$187&gt;=Engagement_Register!$AN$18,Assumptions!Q$187&lt;=Engagement_Register!$AH$18,Engagement_Register!$AO$18&gt;0),(Engagement_Register!$AM$18-Engagement_Register!$AJ$18)*Assumptions!Q$200/Engagement_Register!$AO$18,0))</f>
        <v>0</v>
      </c>
      <c r="R20" s="67" t="n">
        <f aca="false">IF(R$5="A",Inputs_Actuals!R70,IF(AND(Assumptions!R$187&gt;=Engagement_Register!$AN$18,Assumptions!R$187&lt;=Engagement_Register!$AH$18,Engagement_Register!$AO$18&gt;0),(Engagement_Register!$AM$18-Engagement_Register!$AJ$18)*Assumptions!R$200/Engagement_Register!$AO$18,0))</f>
        <v>0</v>
      </c>
      <c r="S20" s="67" t="n">
        <f aca="false">IF(S$5="A",Inputs_Actuals!S70,IF(AND(Assumptions!S$187&gt;=Engagement_Register!$AN$18,Assumptions!S$187&lt;=Engagement_Register!$AH$18,Engagement_Register!$AO$18&gt;0),(Engagement_Register!$AM$18-Engagement_Register!$AJ$18)*Assumptions!S$200/Engagement_Register!$AO$18,0))</f>
        <v>0</v>
      </c>
      <c r="T20" s="67" t="n">
        <f aca="false">IF(T$5="A",Inputs_Actuals!T70,IF(AND(Assumptions!T$187&gt;=Engagement_Register!$AN$18,Assumptions!T$187&lt;=Engagement_Register!$AH$18,Engagement_Register!$AO$18&gt;0),(Engagement_Register!$AM$18-Engagement_Register!$AJ$18)*Assumptions!T$200/Engagement_Register!$AO$18,0))</f>
        <v>0</v>
      </c>
      <c r="U20" s="67" t="n">
        <f aca="false">IF(U$5="A",Inputs_Actuals!U70,IF(AND(Assumptions!U$187&gt;=Engagement_Register!$AN$18,Assumptions!U$187&lt;=Engagement_Register!$AH$18,Engagement_Register!$AO$18&gt;0),(Engagement_Register!$AM$18-Engagement_Register!$AJ$18)*Assumptions!U$200/Engagement_Register!$AO$18,0))</f>
        <v>0</v>
      </c>
      <c r="V20" s="67" t="n">
        <f aca="false">IF(V$5="A",Inputs_Actuals!V70,IF(AND(Assumptions!V$187&gt;=Engagement_Register!$AN$18,Assumptions!V$187&lt;=Engagement_Register!$AH$18,Engagement_Register!$AO$18&gt;0),(Engagement_Register!$AM$18-Engagement_Register!$AJ$18)*Assumptions!V$200/Engagement_Register!$AO$18,0))</f>
        <v>0</v>
      </c>
      <c r="W20" s="67" t="n">
        <f aca="false">IF(W$5="A",Inputs_Actuals!W70,IF(AND(Assumptions!W$187&gt;=Engagement_Register!$AN$18,Assumptions!W$187&lt;=Engagement_Register!$AH$18,Engagement_Register!$AO$18&gt;0),(Engagement_Register!$AM$18-Engagement_Register!$AJ$18)*Assumptions!W$200/Engagement_Register!$AO$18,0))</f>
        <v>0</v>
      </c>
      <c r="X20" s="67" t="n">
        <f aca="false">IF(X$5="A",Inputs_Actuals!X70,IF(AND(Assumptions!X$187&gt;=Engagement_Register!$AN$18,Assumptions!X$187&lt;=Engagement_Register!$AH$18,Engagement_Register!$AO$18&gt;0),(Engagement_Register!$AM$18-Engagement_Register!$AJ$18)*Assumptions!X$200/Engagement_Register!$AO$18,0))</f>
        <v>0</v>
      </c>
      <c r="Y20" s="67" t="n">
        <f aca="false">IF(Y$5="A",Inputs_Actuals!Y70,IF(AND(Assumptions!Y$187&gt;=Engagement_Register!$AN$18,Assumptions!Y$187&lt;=Engagement_Register!$AH$18,Engagement_Register!$AO$18&gt;0),(Engagement_Register!$AM$18-Engagement_Register!$AJ$18)*Assumptions!Y$200/Engagement_Register!$AO$18,0))</f>
        <v>0</v>
      </c>
      <c r="Z20" s="67" t="n">
        <f aca="false">IF(Z$5="A",Inputs_Actuals!Z70,IF(AND(Assumptions!Z$187&gt;=Engagement_Register!$AN$18,Assumptions!Z$187&lt;=Engagement_Register!$AH$18,Engagement_Register!$AO$18&gt;0),(Engagement_Register!$AM$18-Engagement_Register!$AJ$18)*Assumptions!Z$200/Engagement_Register!$AO$18,0))</f>
        <v>0</v>
      </c>
      <c r="AA20" s="67" t="n">
        <f aca="false">IF(AA$5="A",Inputs_Actuals!AA70,IF(AND(Assumptions!AA$187&gt;=Engagement_Register!$AN$18,Assumptions!AA$187&lt;=Engagement_Register!$AH$18,Engagement_Register!$AO$18&gt;0),(Engagement_Register!$AM$18-Engagement_Register!$AJ$18)*Assumptions!AA$200/Engagement_Register!$AO$18,0))</f>
        <v>0</v>
      </c>
      <c r="AB20" s="67" t="n">
        <f aca="false">IF(AB$5="A",Inputs_Actuals!AB70,IF(AND(Assumptions!AB$187&gt;=Engagement_Register!$AN$18,Assumptions!AB$187&lt;=Engagement_Register!$AH$18,Engagement_Register!$AO$18&gt;0),(Engagement_Register!$AM$18-Engagement_Register!$AJ$18)*Assumptions!AB$200/Engagement_Register!$AO$18,0))</f>
        <v>0</v>
      </c>
    </row>
    <row r="21" customFormat="false" ht="15" hidden="false" customHeight="false" outlineLevel="0" collapsed="false">
      <c r="A21" s="29" t="s">
        <v>810</v>
      </c>
      <c r="B21" s="60" t="s">
        <v>798</v>
      </c>
      <c r="C21" s="66" t="n">
        <f aca="false">SUM(E21:P21)</f>
        <v>933.465</v>
      </c>
      <c r="D21" s="66" t="n">
        <f aca="false">SUM(Q21:AB21)</f>
        <v>0</v>
      </c>
      <c r="E21" s="67" t="n">
        <f aca="false">IF(E$5="A",Inputs_Actuals!E76,IF(AND(Assumptions!E$187&gt;=Engagement_Register!$AN$19,Assumptions!E$187&lt;=Engagement_Register!$AH$19,Engagement_Register!$AO$19&gt;0),(Engagement_Register!$AM$19-Engagement_Register!$AJ$19)*Assumptions!E$200/Engagement_Register!$AO$19,0))</f>
        <v>0</v>
      </c>
      <c r="F21" s="67" t="n">
        <f aca="false">IF(F$5="A",Inputs_Actuals!F76,IF(AND(Assumptions!F$187&gt;=Engagement_Register!$AN$19,Assumptions!F$187&lt;=Engagement_Register!$AH$19,Engagement_Register!$AO$19&gt;0),(Engagement_Register!$AM$19-Engagement_Register!$AJ$19)*Assumptions!F$200/Engagement_Register!$AO$19,0))</f>
        <v>0</v>
      </c>
      <c r="G21" s="67" t="n">
        <f aca="false">IF(G$5="A",Inputs_Actuals!G76,IF(AND(Assumptions!G$187&gt;=Engagement_Register!$AN$19,Assumptions!G$187&lt;=Engagement_Register!$AH$19,Engagement_Register!$AO$19&gt;0),(Engagement_Register!$AM$19-Engagement_Register!$AJ$19)*Assumptions!G$200/Engagement_Register!$AO$19,0))</f>
        <v>0</v>
      </c>
      <c r="H21" s="67" t="n">
        <f aca="false">IF(H$5="A",Inputs_Actuals!H76,IF(AND(Assumptions!H$187&gt;=Engagement_Register!$AN$19,Assumptions!H$187&lt;=Engagement_Register!$AH$19,Engagement_Register!$AO$19&gt;0),(Engagement_Register!$AM$19-Engagement_Register!$AJ$19)*Assumptions!H$200/Engagement_Register!$AO$19,0))</f>
        <v>0</v>
      </c>
      <c r="I21" s="67" t="n">
        <f aca="false">IF(I$5="A",Inputs_Actuals!I76,IF(AND(Assumptions!I$187&gt;=Engagement_Register!$AN$19,Assumptions!I$187&lt;=Engagement_Register!$AH$19,Engagement_Register!$AO$19&gt;0),(Engagement_Register!$AM$19-Engagement_Register!$AJ$19)*Assumptions!I$200/Engagement_Register!$AO$19,0))</f>
        <v>0</v>
      </c>
      <c r="J21" s="67" t="n">
        <f aca="false">IF(J$5="A",Inputs_Actuals!J76,IF(AND(Assumptions!J$187&gt;=Engagement_Register!$AN$19,Assumptions!J$187&lt;=Engagement_Register!$AH$19,Engagement_Register!$AO$19&gt;0),(Engagement_Register!$AM$19-Engagement_Register!$AJ$19)*Assumptions!J$200/Engagement_Register!$AO$19,0))</f>
        <v>145.2</v>
      </c>
      <c r="K21" s="67" t="n">
        <f aca="false">IF(K$5="A",Inputs_Actuals!K76,IF(AND(Assumptions!K$187&gt;=Engagement_Register!$AN$19,Assumptions!K$187&lt;=Engagement_Register!$AH$19,Engagement_Register!$AO$19&gt;0),(Engagement_Register!$AM$19-Engagement_Register!$AJ$19)*Assumptions!K$200/Engagement_Register!$AO$19,0))</f>
        <v>176.4</v>
      </c>
      <c r="L21" s="67" t="n">
        <f aca="false">IF(L$5="A",Inputs_Actuals!L76,IF(AND(Assumptions!L$187&gt;=Engagement_Register!$AN$19,Assumptions!L$187&lt;=Engagement_Register!$AH$19,Engagement_Register!$AO$19&gt;0),(Engagement_Register!$AM$19-Engagement_Register!$AJ$19)*Assumptions!L$200/Engagement_Register!$AO$19,0))</f>
        <v>119.1</v>
      </c>
      <c r="M21" s="67" t="n">
        <f aca="false">IF(M$5="A",Inputs_Actuals!M76,IF(AND(Assumptions!M$187&gt;=Engagement_Register!$AN$19,Assumptions!M$187&lt;=Engagement_Register!$AH$19,Engagement_Register!$AO$19&gt;0),(Engagement_Register!$AM$19-Engagement_Register!$AJ$19)*Assumptions!M$200/Engagement_Register!$AO$19,0))</f>
        <v>168.973276481149</v>
      </c>
      <c r="N21" s="67" t="n">
        <f aca="false">IF(N$5="A",Inputs_Actuals!N76,IF(AND(Assumptions!N$187&gt;=Engagement_Register!$AN$19,Assumptions!N$187&lt;=Engagement_Register!$AH$19,Engagement_Register!$AO$19&gt;0),(Engagement_Register!$AM$19-Engagement_Register!$AJ$19)*Assumptions!N$200/Engagement_Register!$AO$19,0))</f>
        <v>162.780538599641</v>
      </c>
      <c r="O21" s="67" t="n">
        <f aca="false">IF(O$5="A",Inputs_Actuals!O76,IF(AND(Assumptions!O$187&gt;=Engagement_Register!$AN$19,Assumptions!O$187&lt;=Engagement_Register!$AH$19,Engagement_Register!$AO$19&gt;0),(Engagement_Register!$AM$19-Engagement_Register!$AJ$19)*Assumptions!O$200/Engagement_Register!$AO$19,0))</f>
        <v>161.01118491921</v>
      </c>
      <c r="P21" s="67" t="n">
        <f aca="false">IF(P$5="A",Inputs_Actuals!P76,IF(AND(Assumptions!P$187&gt;=Engagement_Register!$AN$19,Assumptions!P$187&lt;=Engagement_Register!$AH$19,Engagement_Register!$AO$19&gt;0),(Engagement_Register!$AM$19-Engagement_Register!$AJ$19)*Assumptions!P$200/Engagement_Register!$AO$19,0))</f>
        <v>0</v>
      </c>
      <c r="Q21" s="67" t="n">
        <f aca="false">IF(Q$5="A",Inputs_Actuals!Q76,IF(AND(Assumptions!Q$187&gt;=Engagement_Register!$AN$19,Assumptions!Q$187&lt;=Engagement_Register!$AH$19,Engagement_Register!$AO$19&gt;0),(Engagement_Register!$AM$19-Engagement_Register!$AJ$19)*Assumptions!Q$200/Engagement_Register!$AO$19,0))</f>
        <v>0</v>
      </c>
      <c r="R21" s="67" t="n">
        <f aca="false">IF(R$5="A",Inputs_Actuals!R76,IF(AND(Assumptions!R$187&gt;=Engagement_Register!$AN$19,Assumptions!R$187&lt;=Engagement_Register!$AH$19,Engagement_Register!$AO$19&gt;0),(Engagement_Register!$AM$19-Engagement_Register!$AJ$19)*Assumptions!R$200/Engagement_Register!$AO$19,0))</f>
        <v>0</v>
      </c>
      <c r="S21" s="67" t="n">
        <f aca="false">IF(S$5="A",Inputs_Actuals!S76,IF(AND(Assumptions!S$187&gt;=Engagement_Register!$AN$19,Assumptions!S$187&lt;=Engagement_Register!$AH$19,Engagement_Register!$AO$19&gt;0),(Engagement_Register!$AM$19-Engagement_Register!$AJ$19)*Assumptions!S$200/Engagement_Register!$AO$19,0))</f>
        <v>0</v>
      </c>
      <c r="T21" s="67" t="n">
        <f aca="false">IF(T$5="A",Inputs_Actuals!T76,IF(AND(Assumptions!T$187&gt;=Engagement_Register!$AN$19,Assumptions!T$187&lt;=Engagement_Register!$AH$19,Engagement_Register!$AO$19&gt;0),(Engagement_Register!$AM$19-Engagement_Register!$AJ$19)*Assumptions!T$200/Engagement_Register!$AO$19,0))</f>
        <v>0</v>
      </c>
      <c r="U21" s="67" t="n">
        <f aca="false">IF(U$5="A",Inputs_Actuals!U76,IF(AND(Assumptions!U$187&gt;=Engagement_Register!$AN$19,Assumptions!U$187&lt;=Engagement_Register!$AH$19,Engagement_Register!$AO$19&gt;0),(Engagement_Register!$AM$19-Engagement_Register!$AJ$19)*Assumptions!U$200/Engagement_Register!$AO$19,0))</f>
        <v>0</v>
      </c>
      <c r="V21" s="67" t="n">
        <f aca="false">IF(V$5="A",Inputs_Actuals!V76,IF(AND(Assumptions!V$187&gt;=Engagement_Register!$AN$19,Assumptions!V$187&lt;=Engagement_Register!$AH$19,Engagement_Register!$AO$19&gt;0),(Engagement_Register!$AM$19-Engagement_Register!$AJ$19)*Assumptions!V$200/Engagement_Register!$AO$19,0))</f>
        <v>0</v>
      </c>
      <c r="W21" s="67" t="n">
        <f aca="false">IF(W$5="A",Inputs_Actuals!W76,IF(AND(Assumptions!W$187&gt;=Engagement_Register!$AN$19,Assumptions!W$187&lt;=Engagement_Register!$AH$19,Engagement_Register!$AO$19&gt;0),(Engagement_Register!$AM$19-Engagement_Register!$AJ$19)*Assumptions!W$200/Engagement_Register!$AO$19,0))</f>
        <v>0</v>
      </c>
      <c r="X21" s="67" t="n">
        <f aca="false">IF(X$5="A",Inputs_Actuals!X76,IF(AND(Assumptions!X$187&gt;=Engagement_Register!$AN$19,Assumptions!X$187&lt;=Engagement_Register!$AH$19,Engagement_Register!$AO$19&gt;0),(Engagement_Register!$AM$19-Engagement_Register!$AJ$19)*Assumptions!X$200/Engagement_Register!$AO$19,0))</f>
        <v>0</v>
      </c>
      <c r="Y21" s="67" t="n">
        <f aca="false">IF(Y$5="A",Inputs_Actuals!Y76,IF(AND(Assumptions!Y$187&gt;=Engagement_Register!$AN$19,Assumptions!Y$187&lt;=Engagement_Register!$AH$19,Engagement_Register!$AO$19&gt;0),(Engagement_Register!$AM$19-Engagement_Register!$AJ$19)*Assumptions!Y$200/Engagement_Register!$AO$19,0))</f>
        <v>0</v>
      </c>
      <c r="Z21" s="67" t="n">
        <f aca="false">IF(Z$5="A",Inputs_Actuals!Z76,IF(AND(Assumptions!Z$187&gt;=Engagement_Register!$AN$19,Assumptions!Z$187&lt;=Engagement_Register!$AH$19,Engagement_Register!$AO$19&gt;0),(Engagement_Register!$AM$19-Engagement_Register!$AJ$19)*Assumptions!Z$200/Engagement_Register!$AO$19,0))</f>
        <v>0</v>
      </c>
      <c r="AA21" s="67" t="n">
        <f aca="false">IF(AA$5="A",Inputs_Actuals!AA76,IF(AND(Assumptions!AA$187&gt;=Engagement_Register!$AN$19,Assumptions!AA$187&lt;=Engagement_Register!$AH$19,Engagement_Register!$AO$19&gt;0),(Engagement_Register!$AM$19-Engagement_Register!$AJ$19)*Assumptions!AA$200/Engagement_Register!$AO$19,0))</f>
        <v>0</v>
      </c>
      <c r="AB21" s="67" t="n">
        <f aca="false">IF(AB$5="A",Inputs_Actuals!AB76,IF(AND(Assumptions!AB$187&gt;=Engagement_Register!$AN$19,Assumptions!AB$187&lt;=Engagement_Register!$AH$19,Engagement_Register!$AO$19&gt;0),(Engagement_Register!$AM$19-Engagement_Register!$AJ$19)*Assumptions!AB$200/Engagement_Register!$AO$19,0))</f>
        <v>0</v>
      </c>
    </row>
    <row r="22" customFormat="false" ht="15" hidden="false" customHeight="false" outlineLevel="0" collapsed="false">
      <c r="A22" s="29" t="s">
        <v>811</v>
      </c>
      <c r="B22" s="60" t="s">
        <v>798</v>
      </c>
      <c r="C22" s="66" t="n">
        <f aca="false">SUM(E22:P22)</f>
        <v>1831.90097287184</v>
      </c>
      <c r="D22" s="66" t="n">
        <f aca="false">SUM(Q22:AB22)</f>
        <v>555.034027128157</v>
      </c>
      <c r="E22" s="67" t="n">
        <f aca="false">IF(E$5="A",Inputs_Actuals!E81,IF(AND(Assumptions!E$187&gt;=Engagement_Register!$AN$20,Assumptions!E$187&lt;=Engagement_Register!$AH$20,Engagement_Register!$AO$20&gt;0),(Engagement_Register!$AM$20-Engagement_Register!$AJ$20)*Assumptions!E$200/Engagement_Register!$AO$20,0))</f>
        <v>0</v>
      </c>
      <c r="F22" s="67" t="n">
        <f aca="false">IF(F$5="A",Inputs_Actuals!F81,IF(AND(Assumptions!F$187&gt;=Engagement_Register!$AN$20,Assumptions!F$187&lt;=Engagement_Register!$AH$20,Engagement_Register!$AO$20&gt;0),(Engagement_Register!$AM$20-Engagement_Register!$AJ$20)*Assumptions!F$200/Engagement_Register!$AO$20,0))</f>
        <v>0</v>
      </c>
      <c r="G22" s="67" t="n">
        <f aca="false">IF(G$5="A",Inputs_Actuals!G81,IF(AND(Assumptions!G$187&gt;=Engagement_Register!$AN$20,Assumptions!G$187&lt;=Engagement_Register!$AH$20,Engagement_Register!$AO$20&gt;0),(Engagement_Register!$AM$20-Engagement_Register!$AJ$20)*Assumptions!G$200/Engagement_Register!$AO$20,0))</f>
        <v>0</v>
      </c>
      <c r="H22" s="67" t="n">
        <f aca="false">IF(H$5="A",Inputs_Actuals!H81,IF(AND(Assumptions!H$187&gt;=Engagement_Register!$AN$20,Assumptions!H$187&lt;=Engagement_Register!$AH$20,Engagement_Register!$AO$20&gt;0),(Engagement_Register!$AM$20-Engagement_Register!$AJ$20)*Assumptions!H$200/Engagement_Register!$AO$20,0))</f>
        <v>0</v>
      </c>
      <c r="I22" s="67" t="n">
        <f aca="false">IF(I$5="A",Inputs_Actuals!I81,IF(AND(Assumptions!I$187&gt;=Engagement_Register!$AN$20,Assumptions!I$187&lt;=Engagement_Register!$AH$20,Engagement_Register!$AO$20&gt;0),(Engagement_Register!$AM$20-Engagement_Register!$AJ$20)*Assumptions!I$200/Engagement_Register!$AO$20,0))</f>
        <v>0</v>
      </c>
      <c r="J22" s="67" t="n">
        <f aca="false">IF(J$5="A",Inputs_Actuals!J81,IF(AND(Assumptions!J$187&gt;=Engagement_Register!$AN$20,Assumptions!J$187&lt;=Engagement_Register!$AH$20,Engagement_Register!$AO$20&gt;0),(Engagement_Register!$AM$20-Engagement_Register!$AJ$20)*Assumptions!J$200/Engagement_Register!$AO$20,0))</f>
        <v>0</v>
      </c>
      <c r="K22" s="67" t="n">
        <f aca="false">IF(K$5="A",Inputs_Actuals!K81,IF(AND(Assumptions!K$187&gt;=Engagement_Register!$AN$20,Assumptions!K$187&lt;=Engagement_Register!$AH$20,Engagement_Register!$AO$20&gt;0),(Engagement_Register!$AM$20-Engagement_Register!$AJ$20)*Assumptions!K$200/Engagement_Register!$AO$20,0))</f>
        <v>311.7</v>
      </c>
      <c r="L22" s="67" t="n">
        <f aca="false">IF(L$5="A",Inputs_Actuals!L81,IF(AND(Assumptions!L$187&gt;=Engagement_Register!$AN$20,Assumptions!L$187&lt;=Engagement_Register!$AH$20,Engagement_Register!$AO$20&gt;0),(Engagement_Register!$AM$20-Engagement_Register!$AJ$20)*Assumptions!L$200/Engagement_Register!$AO$20,0))</f>
        <v>249.6</v>
      </c>
      <c r="M22" s="67" t="n">
        <f aca="false">IF(M$5="A",Inputs_Actuals!M81,IF(AND(Assumptions!M$187&gt;=Engagement_Register!$AN$20,Assumptions!M$187&lt;=Engagement_Register!$AH$20,Engagement_Register!$AO$20&gt;0),(Engagement_Register!$AM$20-Engagement_Register!$AJ$20)*Assumptions!M$200/Engagement_Register!$AO$20,0))</f>
        <v>326.189228250702</v>
      </c>
      <c r="N22" s="67" t="n">
        <f aca="false">IF(N$5="A",Inputs_Actuals!N81,IF(AND(Assumptions!N$187&gt;=Engagement_Register!$AN$20,Assumptions!N$187&lt;=Engagement_Register!$AH$20,Engagement_Register!$AO$20&gt;0),(Engagement_Register!$AM$20-Engagement_Register!$AJ$20)*Assumptions!N$200/Engagement_Register!$AO$20,0))</f>
        <v>314.234649204864</v>
      </c>
      <c r="O22" s="67" t="n">
        <f aca="false">IF(O$5="A",Inputs_Actuals!O81,IF(AND(Assumptions!O$187&gt;=Engagement_Register!$AN$20,Assumptions!O$187&lt;=Engagement_Register!$AH$20,Engagement_Register!$AO$20&gt;0),(Engagement_Register!$AM$20-Engagement_Register!$AJ$20)*Assumptions!O$200/Engagement_Register!$AO$20,0))</f>
        <v>310.819055191768</v>
      </c>
      <c r="P22" s="67" t="n">
        <f aca="false">IF(P$5="A",Inputs_Actuals!P81,IF(AND(Assumptions!P$187&gt;=Engagement_Register!$AN$20,Assumptions!P$187&lt;=Engagement_Register!$AH$20,Engagement_Register!$AO$20&gt;0),(Engagement_Register!$AM$20-Engagement_Register!$AJ$20)*Assumptions!P$200/Engagement_Register!$AO$20,0))</f>
        <v>319.358040224509</v>
      </c>
      <c r="Q22" s="67" t="n">
        <f aca="false">IF(Q$5="A",Inputs_Actuals!Q81,IF(AND(Assumptions!Q$187&gt;=Engagement_Register!$AN$20,Assumptions!Q$187&lt;=Engagement_Register!$AH$20,Engagement_Register!$AO$20&gt;0),(Engagement_Register!$AM$20-Engagement_Register!$AJ$20)*Assumptions!Q$200/Engagement_Register!$AO$20,0))</f>
        <v>273.247521047708</v>
      </c>
      <c r="R22" s="67" t="n">
        <f aca="false">IF(R$5="A",Inputs_Actuals!R81,IF(AND(Assumptions!R$187&gt;=Engagement_Register!$AN$20,Assumptions!R$187&lt;=Engagement_Register!$AH$20,Engagement_Register!$AO$20&gt;0),(Engagement_Register!$AM$20-Engagement_Register!$AJ$20)*Assumptions!R$200/Engagement_Register!$AO$20,0))</f>
        <v>281.786506080449</v>
      </c>
      <c r="S22" s="67" t="n">
        <f aca="false">IF(S$5="A",Inputs_Actuals!S81,IF(AND(Assumptions!S$187&gt;=Engagement_Register!$AN$20,Assumptions!S$187&lt;=Engagement_Register!$AH$20,Engagement_Register!$AO$20&gt;0),(Engagement_Register!$AM$20-Engagement_Register!$AJ$20)*Assumptions!S$200/Engagement_Register!$AO$20,0))</f>
        <v>0</v>
      </c>
      <c r="T22" s="67" t="n">
        <f aca="false">IF(T$5="A",Inputs_Actuals!T81,IF(AND(Assumptions!T$187&gt;=Engagement_Register!$AN$20,Assumptions!T$187&lt;=Engagement_Register!$AH$20,Engagement_Register!$AO$20&gt;0),(Engagement_Register!$AM$20-Engagement_Register!$AJ$20)*Assumptions!T$200/Engagement_Register!$AO$20,0))</f>
        <v>0</v>
      </c>
      <c r="U22" s="67" t="n">
        <f aca="false">IF(U$5="A",Inputs_Actuals!U81,IF(AND(Assumptions!U$187&gt;=Engagement_Register!$AN$20,Assumptions!U$187&lt;=Engagement_Register!$AH$20,Engagement_Register!$AO$20&gt;0),(Engagement_Register!$AM$20-Engagement_Register!$AJ$20)*Assumptions!U$200/Engagement_Register!$AO$20,0))</f>
        <v>0</v>
      </c>
      <c r="V22" s="67" t="n">
        <f aca="false">IF(V$5="A",Inputs_Actuals!V81,IF(AND(Assumptions!V$187&gt;=Engagement_Register!$AN$20,Assumptions!V$187&lt;=Engagement_Register!$AH$20,Engagement_Register!$AO$20&gt;0),(Engagement_Register!$AM$20-Engagement_Register!$AJ$20)*Assumptions!V$200/Engagement_Register!$AO$20,0))</f>
        <v>0</v>
      </c>
      <c r="W22" s="67" t="n">
        <f aca="false">IF(W$5="A",Inputs_Actuals!W81,IF(AND(Assumptions!W$187&gt;=Engagement_Register!$AN$20,Assumptions!W$187&lt;=Engagement_Register!$AH$20,Engagement_Register!$AO$20&gt;0),(Engagement_Register!$AM$20-Engagement_Register!$AJ$20)*Assumptions!W$200/Engagement_Register!$AO$20,0))</f>
        <v>0</v>
      </c>
      <c r="X22" s="67" t="n">
        <f aca="false">IF(X$5="A",Inputs_Actuals!X81,IF(AND(Assumptions!X$187&gt;=Engagement_Register!$AN$20,Assumptions!X$187&lt;=Engagement_Register!$AH$20,Engagement_Register!$AO$20&gt;0),(Engagement_Register!$AM$20-Engagement_Register!$AJ$20)*Assumptions!X$200/Engagement_Register!$AO$20,0))</f>
        <v>0</v>
      </c>
      <c r="Y22" s="67" t="n">
        <f aca="false">IF(Y$5="A",Inputs_Actuals!Y81,IF(AND(Assumptions!Y$187&gt;=Engagement_Register!$AN$20,Assumptions!Y$187&lt;=Engagement_Register!$AH$20,Engagement_Register!$AO$20&gt;0),(Engagement_Register!$AM$20-Engagement_Register!$AJ$20)*Assumptions!Y$200/Engagement_Register!$AO$20,0))</f>
        <v>0</v>
      </c>
      <c r="Z22" s="67" t="n">
        <f aca="false">IF(Z$5="A",Inputs_Actuals!Z81,IF(AND(Assumptions!Z$187&gt;=Engagement_Register!$AN$20,Assumptions!Z$187&lt;=Engagement_Register!$AH$20,Engagement_Register!$AO$20&gt;0),(Engagement_Register!$AM$20-Engagement_Register!$AJ$20)*Assumptions!Z$200/Engagement_Register!$AO$20,0))</f>
        <v>0</v>
      </c>
      <c r="AA22" s="67" t="n">
        <f aca="false">IF(AA$5="A",Inputs_Actuals!AA81,IF(AND(Assumptions!AA$187&gt;=Engagement_Register!$AN$20,Assumptions!AA$187&lt;=Engagement_Register!$AH$20,Engagement_Register!$AO$20&gt;0),(Engagement_Register!$AM$20-Engagement_Register!$AJ$20)*Assumptions!AA$200/Engagement_Register!$AO$20,0))</f>
        <v>0</v>
      </c>
      <c r="AB22" s="67" t="n">
        <f aca="false">IF(AB$5="A",Inputs_Actuals!AB81,IF(AND(Assumptions!AB$187&gt;=Engagement_Register!$AN$20,Assumptions!AB$187&lt;=Engagement_Register!$AH$20,Engagement_Register!$AO$20&gt;0),(Engagement_Register!$AM$20-Engagement_Register!$AJ$20)*Assumptions!AB$200/Engagement_Register!$AO$20,0))</f>
        <v>0</v>
      </c>
    </row>
    <row r="23" customFormat="false" ht="15" hidden="false" customHeight="false" outlineLevel="0" collapsed="false">
      <c r="A23" s="29" t="s">
        <v>812</v>
      </c>
      <c r="B23" s="60" t="s">
        <v>798</v>
      </c>
      <c r="C23" s="66" t="n">
        <f aca="false">SUM(E23:P23)</f>
        <v>479.175</v>
      </c>
      <c r="D23" s="66" t="n">
        <f aca="false">SUM(Q23:AB23)</f>
        <v>0</v>
      </c>
      <c r="E23" s="67" t="n">
        <f aca="false">IF(E$5="A",Inputs_Actuals!E87,IF(AND(Assumptions!E$187&gt;=Engagement_Register!$AN$21,Assumptions!E$187&lt;=Engagement_Register!$AH$21,Engagement_Register!$AO$21&gt;0),(Engagement_Register!$AM$21-Engagement_Register!$AJ$21)*Assumptions!E$200/Engagement_Register!$AO$21,0))</f>
        <v>0</v>
      </c>
      <c r="F23" s="67" t="n">
        <f aca="false">IF(F$5="A",Inputs_Actuals!F87,IF(AND(Assumptions!F$187&gt;=Engagement_Register!$AN$21,Assumptions!F$187&lt;=Engagement_Register!$AH$21,Engagement_Register!$AO$21&gt;0),(Engagement_Register!$AM$21-Engagement_Register!$AJ$21)*Assumptions!F$200/Engagement_Register!$AO$21,0))</f>
        <v>0</v>
      </c>
      <c r="G23" s="67" t="n">
        <f aca="false">IF(G$5="A",Inputs_Actuals!G87,IF(AND(Assumptions!G$187&gt;=Engagement_Register!$AN$21,Assumptions!G$187&lt;=Engagement_Register!$AH$21,Engagement_Register!$AO$21&gt;0),(Engagement_Register!$AM$21-Engagement_Register!$AJ$21)*Assumptions!G$200/Engagement_Register!$AO$21,0))</f>
        <v>0</v>
      </c>
      <c r="H23" s="67" t="n">
        <f aca="false">IF(H$5="A",Inputs_Actuals!H87,IF(AND(Assumptions!H$187&gt;=Engagement_Register!$AN$21,Assumptions!H$187&lt;=Engagement_Register!$AH$21,Engagement_Register!$AO$21&gt;0),(Engagement_Register!$AM$21-Engagement_Register!$AJ$21)*Assumptions!H$200/Engagement_Register!$AO$21,0))</f>
        <v>0</v>
      </c>
      <c r="I23" s="67" t="n">
        <f aca="false">IF(I$5="A",Inputs_Actuals!I87,IF(AND(Assumptions!I$187&gt;=Engagement_Register!$AN$21,Assumptions!I$187&lt;=Engagement_Register!$AH$21,Engagement_Register!$AO$21&gt;0),(Engagement_Register!$AM$21-Engagement_Register!$AJ$21)*Assumptions!I$200/Engagement_Register!$AO$21,0))</f>
        <v>0</v>
      </c>
      <c r="J23" s="67" t="n">
        <f aca="false">IF(J$5="A",Inputs_Actuals!J87,IF(AND(Assumptions!J$187&gt;=Engagement_Register!$AN$21,Assumptions!J$187&lt;=Engagement_Register!$AH$21,Engagement_Register!$AO$21&gt;0),(Engagement_Register!$AM$21-Engagement_Register!$AJ$21)*Assumptions!J$200/Engagement_Register!$AO$21,0))</f>
        <v>0</v>
      </c>
      <c r="K23" s="67" t="n">
        <f aca="false">IF(K$5="A",Inputs_Actuals!K87,IF(AND(Assumptions!K$187&gt;=Engagement_Register!$AN$21,Assumptions!K$187&lt;=Engagement_Register!$AH$21,Engagement_Register!$AO$21&gt;0),(Engagement_Register!$AM$21-Engagement_Register!$AJ$21)*Assumptions!K$200/Engagement_Register!$AO$21,0))</f>
        <v>155.1</v>
      </c>
      <c r="L23" s="67" t="n">
        <f aca="false">IF(L$5="A",Inputs_Actuals!L87,IF(AND(Assumptions!L$187&gt;=Engagement_Register!$AN$21,Assumptions!L$187&lt;=Engagement_Register!$AH$21,Engagement_Register!$AO$21&gt;0),(Engagement_Register!$AM$21-Engagement_Register!$AJ$21)*Assumptions!L$200/Engagement_Register!$AO$21,0))</f>
        <v>131.4</v>
      </c>
      <c r="M23" s="67" t="n">
        <f aca="false">IF(M$5="A",Inputs_Actuals!M87,IF(AND(Assumptions!M$187&gt;=Engagement_Register!$AN$21,Assumptions!M$187&lt;=Engagement_Register!$AH$21,Engagement_Register!$AO$21&gt;0),(Engagement_Register!$AM$21-Engagement_Register!$AJ$21)*Assumptions!M$200/Engagement_Register!$AO$21,0))</f>
        <v>192.675</v>
      </c>
      <c r="N23" s="67" t="n">
        <f aca="false">IF(N$5="A",Inputs_Actuals!N87,IF(AND(Assumptions!N$187&gt;=Engagement_Register!$AN$21,Assumptions!N$187&lt;=Engagement_Register!$AH$21,Engagement_Register!$AO$21&gt;0),(Engagement_Register!$AM$21-Engagement_Register!$AJ$21)*Assumptions!N$200/Engagement_Register!$AO$21,0))</f>
        <v>0</v>
      </c>
      <c r="O23" s="67" t="n">
        <f aca="false">IF(O$5="A",Inputs_Actuals!O87,IF(AND(Assumptions!O$187&gt;=Engagement_Register!$AN$21,Assumptions!O$187&lt;=Engagement_Register!$AH$21,Engagement_Register!$AO$21&gt;0),(Engagement_Register!$AM$21-Engagement_Register!$AJ$21)*Assumptions!O$200/Engagement_Register!$AO$21,0))</f>
        <v>0</v>
      </c>
      <c r="P23" s="67" t="n">
        <f aca="false">IF(P$5="A",Inputs_Actuals!P87,IF(AND(Assumptions!P$187&gt;=Engagement_Register!$AN$21,Assumptions!P$187&lt;=Engagement_Register!$AH$21,Engagement_Register!$AO$21&gt;0),(Engagement_Register!$AM$21-Engagement_Register!$AJ$21)*Assumptions!P$200/Engagement_Register!$AO$21,0))</f>
        <v>0</v>
      </c>
      <c r="Q23" s="67" t="n">
        <f aca="false">IF(Q$5="A",Inputs_Actuals!Q87,IF(AND(Assumptions!Q$187&gt;=Engagement_Register!$AN$21,Assumptions!Q$187&lt;=Engagement_Register!$AH$21,Engagement_Register!$AO$21&gt;0),(Engagement_Register!$AM$21-Engagement_Register!$AJ$21)*Assumptions!Q$200/Engagement_Register!$AO$21,0))</f>
        <v>0</v>
      </c>
      <c r="R23" s="67" t="n">
        <f aca="false">IF(R$5="A",Inputs_Actuals!R87,IF(AND(Assumptions!R$187&gt;=Engagement_Register!$AN$21,Assumptions!R$187&lt;=Engagement_Register!$AH$21,Engagement_Register!$AO$21&gt;0),(Engagement_Register!$AM$21-Engagement_Register!$AJ$21)*Assumptions!R$200/Engagement_Register!$AO$21,0))</f>
        <v>0</v>
      </c>
      <c r="S23" s="67" t="n">
        <f aca="false">IF(S$5="A",Inputs_Actuals!S87,IF(AND(Assumptions!S$187&gt;=Engagement_Register!$AN$21,Assumptions!S$187&lt;=Engagement_Register!$AH$21,Engagement_Register!$AO$21&gt;0),(Engagement_Register!$AM$21-Engagement_Register!$AJ$21)*Assumptions!S$200/Engagement_Register!$AO$21,0))</f>
        <v>0</v>
      </c>
      <c r="T23" s="67" t="n">
        <f aca="false">IF(T$5="A",Inputs_Actuals!T87,IF(AND(Assumptions!T$187&gt;=Engagement_Register!$AN$21,Assumptions!T$187&lt;=Engagement_Register!$AH$21,Engagement_Register!$AO$21&gt;0),(Engagement_Register!$AM$21-Engagement_Register!$AJ$21)*Assumptions!T$200/Engagement_Register!$AO$21,0))</f>
        <v>0</v>
      </c>
      <c r="U23" s="67" t="n">
        <f aca="false">IF(U$5="A",Inputs_Actuals!U87,IF(AND(Assumptions!U$187&gt;=Engagement_Register!$AN$21,Assumptions!U$187&lt;=Engagement_Register!$AH$21,Engagement_Register!$AO$21&gt;0),(Engagement_Register!$AM$21-Engagement_Register!$AJ$21)*Assumptions!U$200/Engagement_Register!$AO$21,0))</f>
        <v>0</v>
      </c>
      <c r="V23" s="67" t="n">
        <f aca="false">IF(V$5="A",Inputs_Actuals!V87,IF(AND(Assumptions!V$187&gt;=Engagement_Register!$AN$21,Assumptions!V$187&lt;=Engagement_Register!$AH$21,Engagement_Register!$AO$21&gt;0),(Engagement_Register!$AM$21-Engagement_Register!$AJ$21)*Assumptions!V$200/Engagement_Register!$AO$21,0))</f>
        <v>0</v>
      </c>
      <c r="W23" s="67" t="n">
        <f aca="false">IF(W$5="A",Inputs_Actuals!W87,IF(AND(Assumptions!W$187&gt;=Engagement_Register!$AN$21,Assumptions!W$187&lt;=Engagement_Register!$AH$21,Engagement_Register!$AO$21&gt;0),(Engagement_Register!$AM$21-Engagement_Register!$AJ$21)*Assumptions!W$200/Engagement_Register!$AO$21,0))</f>
        <v>0</v>
      </c>
      <c r="X23" s="67" t="n">
        <f aca="false">IF(X$5="A",Inputs_Actuals!X87,IF(AND(Assumptions!X$187&gt;=Engagement_Register!$AN$21,Assumptions!X$187&lt;=Engagement_Register!$AH$21,Engagement_Register!$AO$21&gt;0),(Engagement_Register!$AM$21-Engagement_Register!$AJ$21)*Assumptions!X$200/Engagement_Register!$AO$21,0))</f>
        <v>0</v>
      </c>
      <c r="Y23" s="67" t="n">
        <f aca="false">IF(Y$5="A",Inputs_Actuals!Y87,IF(AND(Assumptions!Y$187&gt;=Engagement_Register!$AN$21,Assumptions!Y$187&lt;=Engagement_Register!$AH$21,Engagement_Register!$AO$21&gt;0),(Engagement_Register!$AM$21-Engagement_Register!$AJ$21)*Assumptions!Y$200/Engagement_Register!$AO$21,0))</f>
        <v>0</v>
      </c>
      <c r="Z23" s="67" t="n">
        <f aca="false">IF(Z$5="A",Inputs_Actuals!Z87,IF(AND(Assumptions!Z$187&gt;=Engagement_Register!$AN$21,Assumptions!Z$187&lt;=Engagement_Register!$AH$21,Engagement_Register!$AO$21&gt;0),(Engagement_Register!$AM$21-Engagement_Register!$AJ$21)*Assumptions!Z$200/Engagement_Register!$AO$21,0))</f>
        <v>0</v>
      </c>
      <c r="AA23" s="67" t="n">
        <f aca="false">IF(AA$5="A",Inputs_Actuals!AA87,IF(AND(Assumptions!AA$187&gt;=Engagement_Register!$AN$21,Assumptions!AA$187&lt;=Engagement_Register!$AH$21,Engagement_Register!$AO$21&gt;0),(Engagement_Register!$AM$21-Engagement_Register!$AJ$21)*Assumptions!AA$200/Engagement_Register!$AO$21,0))</f>
        <v>0</v>
      </c>
      <c r="AB23" s="67" t="n">
        <f aca="false">IF(AB$5="A",Inputs_Actuals!AB87,IF(AND(Assumptions!AB$187&gt;=Engagement_Register!$AN$21,Assumptions!AB$187&lt;=Engagement_Register!$AH$21,Engagement_Register!$AO$21&gt;0),(Engagement_Register!$AM$21-Engagement_Register!$AJ$21)*Assumptions!AB$200/Engagement_Register!$AO$21,0))</f>
        <v>0</v>
      </c>
    </row>
    <row r="24" customFormat="false" ht="15" hidden="false" customHeight="false" outlineLevel="0" collapsed="false">
      <c r="A24" s="29" t="s">
        <v>813</v>
      </c>
      <c r="B24" s="60" t="s">
        <v>798</v>
      </c>
      <c r="C24" s="66" t="n">
        <f aca="false">SUM(E24:P24)</f>
        <v>497.085</v>
      </c>
      <c r="D24" s="66" t="n">
        <f aca="false">SUM(Q24:AB24)</f>
        <v>0</v>
      </c>
      <c r="E24" s="67" t="n">
        <f aca="false">IF(E$5="A",Inputs_Actuals!E92,IF(AND(Assumptions!E$187&gt;=Engagement_Register!$AN$22,Assumptions!E$187&lt;=Engagement_Register!$AH$22,Engagement_Register!$AO$22&gt;0),(Engagement_Register!$AM$22-Engagement_Register!$AJ$22)*Assumptions!E$200/Engagement_Register!$AO$22,0))</f>
        <v>0</v>
      </c>
      <c r="F24" s="67" t="n">
        <f aca="false">IF(F$5="A",Inputs_Actuals!F92,IF(AND(Assumptions!F$187&gt;=Engagement_Register!$AN$22,Assumptions!F$187&lt;=Engagement_Register!$AH$22,Engagement_Register!$AO$22&gt;0),(Engagement_Register!$AM$22-Engagement_Register!$AJ$22)*Assumptions!F$200/Engagement_Register!$AO$22,0))</f>
        <v>0</v>
      </c>
      <c r="G24" s="67" t="n">
        <f aca="false">IF(G$5="A",Inputs_Actuals!G92,IF(AND(Assumptions!G$187&gt;=Engagement_Register!$AN$22,Assumptions!G$187&lt;=Engagement_Register!$AH$22,Engagement_Register!$AO$22&gt;0),(Engagement_Register!$AM$22-Engagement_Register!$AJ$22)*Assumptions!G$200/Engagement_Register!$AO$22,0))</f>
        <v>0</v>
      </c>
      <c r="H24" s="67" t="n">
        <f aca="false">IF(H$5="A",Inputs_Actuals!H92,IF(AND(Assumptions!H$187&gt;=Engagement_Register!$AN$22,Assumptions!H$187&lt;=Engagement_Register!$AH$22,Engagement_Register!$AO$22&gt;0),(Engagement_Register!$AM$22-Engagement_Register!$AJ$22)*Assumptions!H$200/Engagement_Register!$AO$22,0))</f>
        <v>0</v>
      </c>
      <c r="I24" s="67" t="n">
        <f aca="false">IF(I$5="A",Inputs_Actuals!I92,IF(AND(Assumptions!I$187&gt;=Engagement_Register!$AN$22,Assumptions!I$187&lt;=Engagement_Register!$AH$22,Engagement_Register!$AO$22&gt;0),(Engagement_Register!$AM$22-Engagement_Register!$AJ$22)*Assumptions!I$200/Engagement_Register!$AO$22,0))</f>
        <v>0</v>
      </c>
      <c r="J24" s="67" t="n">
        <f aca="false">IF(J$5="A",Inputs_Actuals!J92,IF(AND(Assumptions!J$187&gt;=Engagement_Register!$AN$22,Assumptions!J$187&lt;=Engagement_Register!$AH$22,Engagement_Register!$AO$22&gt;0),(Engagement_Register!$AM$22-Engagement_Register!$AJ$22)*Assumptions!J$200/Engagement_Register!$AO$22,0))</f>
        <v>0</v>
      </c>
      <c r="K24" s="67" t="n">
        <f aca="false">IF(K$5="A",Inputs_Actuals!K92,IF(AND(Assumptions!K$187&gt;=Engagement_Register!$AN$22,Assumptions!K$187&lt;=Engagement_Register!$AH$22,Engagement_Register!$AO$22&gt;0),(Engagement_Register!$AM$22-Engagement_Register!$AJ$22)*Assumptions!K$200/Engagement_Register!$AO$22,0))</f>
        <v>0</v>
      </c>
      <c r="L24" s="67" t="n">
        <f aca="false">IF(L$5="A",Inputs_Actuals!L92,IF(AND(Assumptions!L$187&gt;=Engagement_Register!$AN$22,Assumptions!L$187&lt;=Engagement_Register!$AH$22,Engagement_Register!$AO$22&gt;0),(Engagement_Register!$AM$22-Engagement_Register!$AJ$22)*Assumptions!L$200/Engagement_Register!$AO$22,0))</f>
        <v>138.3</v>
      </c>
      <c r="M24" s="67" t="n">
        <f aca="false">IF(M$5="A",Inputs_Actuals!M92,IF(AND(Assumptions!M$187&gt;=Engagement_Register!$AN$22,Assumptions!M$187&lt;=Engagement_Register!$AH$22,Engagement_Register!$AO$22&gt;0),(Engagement_Register!$AM$22-Engagement_Register!$AJ$22)*Assumptions!M$200/Engagement_Register!$AO$22,0))</f>
        <v>182.74116</v>
      </c>
      <c r="N24" s="67" t="n">
        <f aca="false">IF(N$5="A",Inputs_Actuals!N92,IF(AND(Assumptions!N$187&gt;=Engagement_Register!$AN$22,Assumptions!N$187&lt;=Engagement_Register!$AH$22,Engagement_Register!$AO$22&gt;0),(Engagement_Register!$AM$22-Engagement_Register!$AJ$22)*Assumptions!N$200/Engagement_Register!$AO$22,0))</f>
        <v>176.04384</v>
      </c>
      <c r="O24" s="67" t="n">
        <f aca="false">IF(O$5="A",Inputs_Actuals!O92,IF(AND(Assumptions!O$187&gt;=Engagement_Register!$AN$22,Assumptions!O$187&lt;=Engagement_Register!$AH$22,Engagement_Register!$AO$22&gt;0),(Engagement_Register!$AM$22-Engagement_Register!$AJ$22)*Assumptions!O$200/Engagement_Register!$AO$22,0))</f>
        <v>0</v>
      </c>
      <c r="P24" s="67" t="n">
        <f aca="false">IF(P$5="A",Inputs_Actuals!P92,IF(AND(Assumptions!P$187&gt;=Engagement_Register!$AN$22,Assumptions!P$187&lt;=Engagement_Register!$AH$22,Engagement_Register!$AO$22&gt;0),(Engagement_Register!$AM$22-Engagement_Register!$AJ$22)*Assumptions!P$200/Engagement_Register!$AO$22,0))</f>
        <v>0</v>
      </c>
      <c r="Q24" s="67" t="n">
        <f aca="false">IF(Q$5="A",Inputs_Actuals!Q92,IF(AND(Assumptions!Q$187&gt;=Engagement_Register!$AN$22,Assumptions!Q$187&lt;=Engagement_Register!$AH$22,Engagement_Register!$AO$22&gt;0),(Engagement_Register!$AM$22-Engagement_Register!$AJ$22)*Assumptions!Q$200/Engagement_Register!$AO$22,0))</f>
        <v>0</v>
      </c>
      <c r="R24" s="67" t="n">
        <f aca="false">IF(R$5="A",Inputs_Actuals!R92,IF(AND(Assumptions!R$187&gt;=Engagement_Register!$AN$22,Assumptions!R$187&lt;=Engagement_Register!$AH$22,Engagement_Register!$AO$22&gt;0),(Engagement_Register!$AM$22-Engagement_Register!$AJ$22)*Assumptions!R$200/Engagement_Register!$AO$22,0))</f>
        <v>0</v>
      </c>
      <c r="S24" s="67" t="n">
        <f aca="false">IF(S$5="A",Inputs_Actuals!S92,IF(AND(Assumptions!S$187&gt;=Engagement_Register!$AN$22,Assumptions!S$187&lt;=Engagement_Register!$AH$22,Engagement_Register!$AO$22&gt;0),(Engagement_Register!$AM$22-Engagement_Register!$AJ$22)*Assumptions!S$200/Engagement_Register!$AO$22,0))</f>
        <v>0</v>
      </c>
      <c r="T24" s="67" t="n">
        <f aca="false">IF(T$5="A",Inputs_Actuals!T92,IF(AND(Assumptions!T$187&gt;=Engagement_Register!$AN$22,Assumptions!T$187&lt;=Engagement_Register!$AH$22,Engagement_Register!$AO$22&gt;0),(Engagement_Register!$AM$22-Engagement_Register!$AJ$22)*Assumptions!T$200/Engagement_Register!$AO$22,0))</f>
        <v>0</v>
      </c>
      <c r="U24" s="67" t="n">
        <f aca="false">IF(U$5="A",Inputs_Actuals!U92,IF(AND(Assumptions!U$187&gt;=Engagement_Register!$AN$22,Assumptions!U$187&lt;=Engagement_Register!$AH$22,Engagement_Register!$AO$22&gt;0),(Engagement_Register!$AM$22-Engagement_Register!$AJ$22)*Assumptions!U$200/Engagement_Register!$AO$22,0))</f>
        <v>0</v>
      </c>
      <c r="V24" s="67" t="n">
        <f aca="false">IF(V$5="A",Inputs_Actuals!V92,IF(AND(Assumptions!V$187&gt;=Engagement_Register!$AN$22,Assumptions!V$187&lt;=Engagement_Register!$AH$22,Engagement_Register!$AO$22&gt;0),(Engagement_Register!$AM$22-Engagement_Register!$AJ$22)*Assumptions!V$200/Engagement_Register!$AO$22,0))</f>
        <v>0</v>
      </c>
      <c r="W24" s="67" t="n">
        <f aca="false">IF(W$5="A",Inputs_Actuals!W92,IF(AND(Assumptions!W$187&gt;=Engagement_Register!$AN$22,Assumptions!W$187&lt;=Engagement_Register!$AH$22,Engagement_Register!$AO$22&gt;0),(Engagement_Register!$AM$22-Engagement_Register!$AJ$22)*Assumptions!W$200/Engagement_Register!$AO$22,0))</f>
        <v>0</v>
      </c>
      <c r="X24" s="67" t="n">
        <f aca="false">IF(X$5="A",Inputs_Actuals!X92,IF(AND(Assumptions!X$187&gt;=Engagement_Register!$AN$22,Assumptions!X$187&lt;=Engagement_Register!$AH$22,Engagement_Register!$AO$22&gt;0),(Engagement_Register!$AM$22-Engagement_Register!$AJ$22)*Assumptions!X$200/Engagement_Register!$AO$22,0))</f>
        <v>0</v>
      </c>
      <c r="Y24" s="67" t="n">
        <f aca="false">IF(Y$5="A",Inputs_Actuals!Y92,IF(AND(Assumptions!Y$187&gt;=Engagement_Register!$AN$22,Assumptions!Y$187&lt;=Engagement_Register!$AH$22,Engagement_Register!$AO$22&gt;0),(Engagement_Register!$AM$22-Engagement_Register!$AJ$22)*Assumptions!Y$200/Engagement_Register!$AO$22,0))</f>
        <v>0</v>
      </c>
      <c r="Z24" s="67" t="n">
        <f aca="false">IF(Z$5="A",Inputs_Actuals!Z92,IF(AND(Assumptions!Z$187&gt;=Engagement_Register!$AN$22,Assumptions!Z$187&lt;=Engagement_Register!$AH$22,Engagement_Register!$AO$22&gt;0),(Engagement_Register!$AM$22-Engagement_Register!$AJ$22)*Assumptions!Z$200/Engagement_Register!$AO$22,0))</f>
        <v>0</v>
      </c>
      <c r="AA24" s="67" t="n">
        <f aca="false">IF(AA$5="A",Inputs_Actuals!AA92,IF(AND(Assumptions!AA$187&gt;=Engagement_Register!$AN$22,Assumptions!AA$187&lt;=Engagement_Register!$AH$22,Engagement_Register!$AO$22&gt;0),(Engagement_Register!$AM$22-Engagement_Register!$AJ$22)*Assumptions!AA$200/Engagement_Register!$AO$22,0))</f>
        <v>0</v>
      </c>
      <c r="AB24" s="67" t="n">
        <f aca="false">IF(AB$5="A",Inputs_Actuals!AB92,IF(AND(Assumptions!AB$187&gt;=Engagement_Register!$AN$22,Assumptions!AB$187&lt;=Engagement_Register!$AH$22,Engagement_Register!$AO$22&gt;0),(Engagement_Register!$AM$22-Engagement_Register!$AJ$22)*Assumptions!AB$200/Engagement_Register!$AO$22,0))</f>
        <v>0</v>
      </c>
    </row>
    <row r="25" customFormat="false" ht="15" hidden="false" customHeight="false" outlineLevel="0" collapsed="false">
      <c r="A25" s="29" t="s">
        <v>814</v>
      </c>
      <c r="B25" s="60" t="s">
        <v>798</v>
      </c>
      <c r="C25" s="66" t="n">
        <f aca="false">SUM(E25:P25)</f>
        <v>2183.2</v>
      </c>
      <c r="D25" s="66" t="n">
        <f aca="false">SUM(Q25:AB25)</f>
        <v>0</v>
      </c>
      <c r="E25" s="67" t="n">
        <f aca="false">IF(E$5="A",Inputs_Actuals!E97,IF(AND(Assumptions!E$187&gt;=Engagement_Register!$AN$23,Assumptions!E$187&lt;=Engagement_Register!$AH$23,Engagement_Register!$AO$23&gt;0),(Engagement_Register!$AM$23-Engagement_Register!$AJ$23)*Assumptions!E$200/Engagement_Register!$AO$23,0))</f>
        <v>356.3</v>
      </c>
      <c r="F25" s="67" t="n">
        <f aca="false">IF(F$5="A",Inputs_Actuals!F97,IF(AND(Assumptions!F$187&gt;=Engagement_Register!$AN$23,Assumptions!F$187&lt;=Engagement_Register!$AH$23,Engagement_Register!$AO$23&gt;0),(Engagement_Register!$AM$23-Engagement_Register!$AJ$23)*Assumptions!F$200/Engagement_Register!$AO$23,0))</f>
        <v>357.4</v>
      </c>
      <c r="G25" s="67" t="n">
        <f aca="false">IF(G$5="A",Inputs_Actuals!G97,IF(AND(Assumptions!G$187&gt;=Engagement_Register!$AN$23,Assumptions!G$187&lt;=Engagement_Register!$AH$23,Engagement_Register!$AO$23&gt;0),(Engagement_Register!$AM$23-Engagement_Register!$AJ$23)*Assumptions!G$200/Engagement_Register!$AO$23,0))</f>
        <v>419.2</v>
      </c>
      <c r="H25" s="67" t="n">
        <f aca="false">IF(H$5="A",Inputs_Actuals!H97,IF(AND(Assumptions!H$187&gt;=Engagement_Register!$AN$23,Assumptions!H$187&lt;=Engagement_Register!$AH$23,Engagement_Register!$AO$23&gt;0),(Engagement_Register!$AM$23-Engagement_Register!$AJ$23)*Assumptions!H$200/Engagement_Register!$AO$23,0))</f>
        <v>332.9</v>
      </c>
      <c r="I25" s="67" t="n">
        <f aca="false">IF(I$5="A",Inputs_Actuals!I97,IF(AND(Assumptions!I$187&gt;=Engagement_Register!$AN$23,Assumptions!I$187&lt;=Engagement_Register!$AH$23,Engagement_Register!$AO$23&gt;0),(Engagement_Register!$AM$23-Engagement_Register!$AJ$23)*Assumptions!I$200/Engagement_Register!$AO$23,0))</f>
        <v>307.5</v>
      </c>
      <c r="J25" s="67" t="n">
        <f aca="false">IF(J$5="A",Inputs_Actuals!J97,IF(AND(Assumptions!J$187&gt;=Engagement_Register!$AN$23,Assumptions!J$187&lt;=Engagement_Register!$AH$23,Engagement_Register!$AO$23&gt;0),(Engagement_Register!$AM$23-Engagement_Register!$AJ$23)*Assumptions!J$200/Engagement_Register!$AO$23,0))</f>
        <v>409.9</v>
      </c>
      <c r="K25" s="67" t="n">
        <f aca="false">IF(K$5="A",Inputs_Actuals!K97,IF(AND(Assumptions!K$187&gt;=Engagement_Register!$AN$23,Assumptions!K$187&lt;=Engagement_Register!$AH$23,Engagement_Register!$AO$23&gt;0),(Engagement_Register!$AM$23-Engagement_Register!$AJ$23)*Assumptions!K$200/Engagement_Register!$AO$23,0))</f>
        <v>0</v>
      </c>
      <c r="L25" s="67" t="n">
        <f aca="false">IF(L$5="A",Inputs_Actuals!L97,IF(AND(Assumptions!L$187&gt;=Engagement_Register!$AN$23,Assumptions!L$187&lt;=Engagement_Register!$AH$23,Engagement_Register!$AO$23&gt;0),(Engagement_Register!$AM$23-Engagement_Register!$AJ$23)*Assumptions!L$200/Engagement_Register!$AO$23,0))</f>
        <v>0</v>
      </c>
      <c r="M25" s="67" t="n">
        <f aca="false">IF(M$5="A",Inputs_Actuals!M97,IF(AND(Assumptions!M$187&gt;=Engagement_Register!$AN$23,Assumptions!M$187&lt;=Engagement_Register!$AH$23,Engagement_Register!$AO$23&gt;0),(Engagement_Register!$AM$23-Engagement_Register!$AJ$23)*Assumptions!M$200/Engagement_Register!$AO$23,0))</f>
        <v>0</v>
      </c>
      <c r="N25" s="67" t="n">
        <f aca="false">IF(N$5="A",Inputs_Actuals!N97,IF(AND(Assumptions!N$187&gt;=Engagement_Register!$AN$23,Assumptions!N$187&lt;=Engagement_Register!$AH$23,Engagement_Register!$AO$23&gt;0),(Engagement_Register!$AM$23-Engagement_Register!$AJ$23)*Assumptions!N$200/Engagement_Register!$AO$23,0))</f>
        <v>0</v>
      </c>
      <c r="O25" s="67" t="n">
        <f aca="false">IF(O$5="A",Inputs_Actuals!O97,IF(AND(Assumptions!O$187&gt;=Engagement_Register!$AN$23,Assumptions!O$187&lt;=Engagement_Register!$AH$23,Engagement_Register!$AO$23&gt;0),(Engagement_Register!$AM$23-Engagement_Register!$AJ$23)*Assumptions!O$200/Engagement_Register!$AO$23,0))</f>
        <v>0</v>
      </c>
      <c r="P25" s="67" t="n">
        <f aca="false">IF(P$5="A",Inputs_Actuals!P97,IF(AND(Assumptions!P$187&gt;=Engagement_Register!$AN$23,Assumptions!P$187&lt;=Engagement_Register!$AH$23,Engagement_Register!$AO$23&gt;0),(Engagement_Register!$AM$23-Engagement_Register!$AJ$23)*Assumptions!P$200/Engagement_Register!$AO$23,0))</f>
        <v>0</v>
      </c>
      <c r="Q25" s="67" t="n">
        <f aca="false">IF(Q$5="A",Inputs_Actuals!Q97,IF(AND(Assumptions!Q$187&gt;=Engagement_Register!$AN$23,Assumptions!Q$187&lt;=Engagement_Register!$AH$23,Engagement_Register!$AO$23&gt;0),(Engagement_Register!$AM$23-Engagement_Register!$AJ$23)*Assumptions!Q$200/Engagement_Register!$AO$23,0))</f>
        <v>0</v>
      </c>
      <c r="R25" s="67" t="n">
        <f aca="false">IF(R$5="A",Inputs_Actuals!R97,IF(AND(Assumptions!R$187&gt;=Engagement_Register!$AN$23,Assumptions!R$187&lt;=Engagement_Register!$AH$23,Engagement_Register!$AO$23&gt;0),(Engagement_Register!$AM$23-Engagement_Register!$AJ$23)*Assumptions!R$200/Engagement_Register!$AO$23,0))</f>
        <v>0</v>
      </c>
      <c r="S25" s="67" t="n">
        <f aca="false">IF(S$5="A",Inputs_Actuals!S97,IF(AND(Assumptions!S$187&gt;=Engagement_Register!$AN$23,Assumptions!S$187&lt;=Engagement_Register!$AH$23,Engagement_Register!$AO$23&gt;0),(Engagement_Register!$AM$23-Engagement_Register!$AJ$23)*Assumptions!S$200/Engagement_Register!$AO$23,0))</f>
        <v>0</v>
      </c>
      <c r="T25" s="67" t="n">
        <f aca="false">IF(T$5="A",Inputs_Actuals!T97,IF(AND(Assumptions!T$187&gt;=Engagement_Register!$AN$23,Assumptions!T$187&lt;=Engagement_Register!$AH$23,Engagement_Register!$AO$23&gt;0),(Engagement_Register!$AM$23-Engagement_Register!$AJ$23)*Assumptions!T$200/Engagement_Register!$AO$23,0))</f>
        <v>0</v>
      </c>
      <c r="U25" s="67" t="n">
        <f aca="false">IF(U$5="A",Inputs_Actuals!U97,IF(AND(Assumptions!U$187&gt;=Engagement_Register!$AN$23,Assumptions!U$187&lt;=Engagement_Register!$AH$23,Engagement_Register!$AO$23&gt;0),(Engagement_Register!$AM$23-Engagement_Register!$AJ$23)*Assumptions!U$200/Engagement_Register!$AO$23,0))</f>
        <v>0</v>
      </c>
      <c r="V25" s="67" t="n">
        <f aca="false">IF(V$5="A",Inputs_Actuals!V97,IF(AND(Assumptions!V$187&gt;=Engagement_Register!$AN$23,Assumptions!V$187&lt;=Engagement_Register!$AH$23,Engagement_Register!$AO$23&gt;0),(Engagement_Register!$AM$23-Engagement_Register!$AJ$23)*Assumptions!V$200/Engagement_Register!$AO$23,0))</f>
        <v>0</v>
      </c>
      <c r="W25" s="67" t="n">
        <f aca="false">IF(W$5="A",Inputs_Actuals!W97,IF(AND(Assumptions!W$187&gt;=Engagement_Register!$AN$23,Assumptions!W$187&lt;=Engagement_Register!$AH$23,Engagement_Register!$AO$23&gt;0),(Engagement_Register!$AM$23-Engagement_Register!$AJ$23)*Assumptions!W$200/Engagement_Register!$AO$23,0))</f>
        <v>0</v>
      </c>
      <c r="X25" s="67" t="n">
        <f aca="false">IF(X$5="A",Inputs_Actuals!X97,IF(AND(Assumptions!X$187&gt;=Engagement_Register!$AN$23,Assumptions!X$187&lt;=Engagement_Register!$AH$23,Engagement_Register!$AO$23&gt;0),(Engagement_Register!$AM$23-Engagement_Register!$AJ$23)*Assumptions!X$200/Engagement_Register!$AO$23,0))</f>
        <v>0</v>
      </c>
      <c r="Y25" s="67" t="n">
        <f aca="false">IF(Y$5="A",Inputs_Actuals!Y97,IF(AND(Assumptions!Y$187&gt;=Engagement_Register!$AN$23,Assumptions!Y$187&lt;=Engagement_Register!$AH$23,Engagement_Register!$AO$23&gt;0),(Engagement_Register!$AM$23-Engagement_Register!$AJ$23)*Assumptions!Y$200/Engagement_Register!$AO$23,0))</f>
        <v>0</v>
      </c>
      <c r="Z25" s="67" t="n">
        <f aca="false">IF(Z$5="A",Inputs_Actuals!Z97,IF(AND(Assumptions!Z$187&gt;=Engagement_Register!$AN$23,Assumptions!Z$187&lt;=Engagement_Register!$AH$23,Engagement_Register!$AO$23&gt;0),(Engagement_Register!$AM$23-Engagement_Register!$AJ$23)*Assumptions!Z$200/Engagement_Register!$AO$23,0))</f>
        <v>0</v>
      </c>
      <c r="AA25" s="67" t="n">
        <f aca="false">IF(AA$5="A",Inputs_Actuals!AA97,IF(AND(Assumptions!AA$187&gt;=Engagement_Register!$AN$23,Assumptions!AA$187&lt;=Engagement_Register!$AH$23,Engagement_Register!$AO$23&gt;0),(Engagement_Register!$AM$23-Engagement_Register!$AJ$23)*Assumptions!AA$200/Engagement_Register!$AO$23,0))</f>
        <v>0</v>
      </c>
      <c r="AB25" s="67" t="n">
        <f aca="false">IF(AB$5="A",Inputs_Actuals!AB97,IF(AND(Assumptions!AB$187&gt;=Engagement_Register!$AN$23,Assumptions!AB$187&lt;=Engagement_Register!$AH$23,Engagement_Register!$AO$23&gt;0),(Engagement_Register!$AM$23-Engagement_Register!$AJ$23)*Assumptions!AB$200/Engagement_Register!$AO$23,0))</f>
        <v>0</v>
      </c>
    </row>
    <row r="26" customFormat="false" ht="15" hidden="false" customHeight="false" outlineLevel="0" collapsed="false">
      <c r="A26" s="29" t="s">
        <v>815</v>
      </c>
      <c r="B26" s="60" t="s">
        <v>798</v>
      </c>
      <c r="C26" s="66" t="n">
        <f aca="false">SUM(E26:P26)</f>
        <v>1316.62921348315</v>
      </c>
      <c r="D26" s="66" t="n">
        <f aca="false">SUM(Q26:AB26)</f>
        <v>888.370786516854</v>
      </c>
      <c r="E26" s="67" t="n">
        <f aca="false">IF(E$5="A",0,IF(AND(Assumptions!E$187&gt;=Engagement_Register!$AN$24,Assumptions!E$187&lt;=Engagement_Register!$AH$24,Engagement_Register!$AO$24&gt;0),(Engagement_Register!$AM$24-Engagement_Register!$AJ$24)*Assumptions!E$200/Engagement_Register!$AO$24,0))</f>
        <v>0</v>
      </c>
      <c r="F26" s="67" t="n">
        <f aca="false">IF(F$5="A",0,IF(AND(Assumptions!F$187&gt;=Engagement_Register!$AN$24,Assumptions!F$187&lt;=Engagement_Register!$AH$24,Engagement_Register!$AO$24&gt;0),(Engagement_Register!$AM$24-Engagement_Register!$AJ$24)*Assumptions!F$200/Engagement_Register!$AO$24,0))</f>
        <v>0</v>
      </c>
      <c r="G26" s="67" t="n">
        <f aca="false">IF(G$5="A",0,IF(AND(Assumptions!G$187&gt;=Engagement_Register!$AN$24,Assumptions!G$187&lt;=Engagement_Register!$AH$24,Engagement_Register!$AO$24&gt;0),(Engagement_Register!$AM$24-Engagement_Register!$AJ$24)*Assumptions!G$200/Engagement_Register!$AO$24,0))</f>
        <v>0</v>
      </c>
      <c r="H26" s="67" t="n">
        <f aca="false">IF(H$5="A",0,IF(AND(Assumptions!H$187&gt;=Engagement_Register!$AN$24,Assumptions!H$187&lt;=Engagement_Register!$AH$24,Engagement_Register!$AO$24&gt;0),(Engagement_Register!$AM$24-Engagement_Register!$AJ$24)*Assumptions!H$200/Engagement_Register!$AO$24,0))</f>
        <v>0</v>
      </c>
      <c r="I26" s="67" t="n">
        <f aca="false">IF(I$5="A",0,IF(AND(Assumptions!I$187&gt;=Engagement_Register!$AN$24,Assumptions!I$187&lt;=Engagement_Register!$AH$24,Engagement_Register!$AO$24&gt;0),(Engagement_Register!$AM$24-Engagement_Register!$AJ$24)*Assumptions!I$200/Engagement_Register!$AO$24,0))</f>
        <v>0</v>
      </c>
      <c r="J26" s="67" t="n">
        <f aca="false">IF(J$5="A",0,IF(AND(Assumptions!J$187&gt;=Engagement_Register!$AN$24,Assumptions!J$187&lt;=Engagement_Register!$AH$24,Engagement_Register!$AO$24&gt;0),(Engagement_Register!$AM$24-Engagement_Register!$AJ$24)*Assumptions!J$200/Engagement_Register!$AO$24,0))</f>
        <v>0</v>
      </c>
      <c r="K26" s="67" t="n">
        <f aca="false">IF(K$5="A",0,IF(AND(Assumptions!K$187&gt;=Engagement_Register!$AN$24,Assumptions!K$187&lt;=Engagement_Register!$AH$24,Engagement_Register!$AO$24&gt;0),(Engagement_Register!$AM$24-Engagement_Register!$AJ$24)*Assumptions!K$200/Engagement_Register!$AO$24,0))</f>
        <v>0</v>
      </c>
      <c r="L26" s="67" t="n">
        <f aca="false">IF(L$5="A",0,IF(AND(Assumptions!L$187&gt;=Engagement_Register!$AN$24,Assumptions!L$187&lt;=Engagement_Register!$AH$24,Engagement_Register!$AO$24&gt;0),(Engagement_Register!$AM$24-Engagement_Register!$AJ$24)*Assumptions!L$200/Engagement_Register!$AO$24,0))</f>
        <v>0</v>
      </c>
      <c r="M26" s="67" t="n">
        <f aca="false">IF(M$5="A",0,IF(AND(Assumptions!M$187&gt;=Engagement_Register!$AN$24,Assumptions!M$187&lt;=Engagement_Register!$AH$24,Engagement_Register!$AO$24&gt;0),(Engagement_Register!$AM$24-Engagement_Register!$AJ$24)*Assumptions!M$200/Engagement_Register!$AO$24,0))</f>
        <v>338.005617977528</v>
      </c>
      <c r="N26" s="67" t="n">
        <f aca="false">IF(N$5="A",0,IF(AND(Assumptions!N$187&gt;=Engagement_Register!$AN$24,Assumptions!N$187&lt;=Engagement_Register!$AH$24,Engagement_Register!$AO$24&gt;0),(Engagement_Register!$AM$24-Engagement_Register!$AJ$24)*Assumptions!N$200/Engagement_Register!$AO$24,0))</f>
        <v>325.61797752809</v>
      </c>
      <c r="O26" s="67" t="n">
        <f aca="false">IF(O$5="A",0,IF(AND(Assumptions!O$187&gt;=Engagement_Register!$AN$24,Assumptions!O$187&lt;=Engagement_Register!$AH$24,Engagement_Register!$AO$24&gt;0),(Engagement_Register!$AM$24-Engagement_Register!$AJ$24)*Assumptions!O$200/Engagement_Register!$AO$24,0))</f>
        <v>322.078651685393</v>
      </c>
      <c r="P26" s="67" t="n">
        <f aca="false">IF(P$5="A",0,IF(AND(Assumptions!P$187&gt;=Engagement_Register!$AN$24,Assumptions!P$187&lt;=Engagement_Register!$AH$24,Engagement_Register!$AO$24&gt;0),(Engagement_Register!$AM$24-Engagement_Register!$AJ$24)*Assumptions!P$200/Engagement_Register!$AO$24,0))</f>
        <v>330.926966292135</v>
      </c>
      <c r="Q26" s="67" t="n">
        <f aca="false">IF(Q$5="A",0,IF(AND(Assumptions!Q$187&gt;=Engagement_Register!$AN$24,Assumptions!Q$187&lt;=Engagement_Register!$AH$24,Engagement_Register!$AO$24&gt;0),(Engagement_Register!$AM$24-Engagement_Register!$AJ$24)*Assumptions!Q$200/Engagement_Register!$AO$24,0))</f>
        <v>283.14606741573</v>
      </c>
      <c r="R26" s="67" t="n">
        <f aca="false">IF(R$5="A",0,IF(AND(Assumptions!R$187&gt;=Engagement_Register!$AN$24,Assumptions!R$187&lt;=Engagement_Register!$AH$24,Engagement_Register!$AO$24&gt;0),(Engagement_Register!$AM$24-Engagement_Register!$AJ$24)*Assumptions!R$200/Engagement_Register!$AO$24,0))</f>
        <v>291.994382022472</v>
      </c>
      <c r="S26" s="67" t="n">
        <f aca="false">IF(S$5="A",0,IF(AND(Assumptions!S$187&gt;=Engagement_Register!$AN$24,Assumptions!S$187&lt;=Engagement_Register!$AH$24,Engagement_Register!$AO$24&gt;0),(Engagement_Register!$AM$24-Engagement_Register!$AJ$24)*Assumptions!S$200/Engagement_Register!$AO$24,0))</f>
        <v>313.230337078652</v>
      </c>
      <c r="T26" s="67" t="n">
        <f aca="false">IF(T$5="A",0,IF(AND(Assumptions!T$187&gt;=Engagement_Register!$AN$24,Assumptions!T$187&lt;=Engagement_Register!$AH$24,Engagement_Register!$AO$24&gt;0),(Engagement_Register!$AM$24-Engagement_Register!$AJ$24)*Assumptions!T$200/Engagement_Register!$AO$24,0))</f>
        <v>0</v>
      </c>
      <c r="U26" s="67" t="n">
        <f aca="false">IF(U$5="A",0,IF(AND(Assumptions!U$187&gt;=Engagement_Register!$AN$24,Assumptions!U$187&lt;=Engagement_Register!$AH$24,Engagement_Register!$AO$24&gt;0),(Engagement_Register!$AM$24-Engagement_Register!$AJ$24)*Assumptions!U$200/Engagement_Register!$AO$24,0))</f>
        <v>0</v>
      </c>
      <c r="V26" s="67" t="n">
        <f aca="false">IF(V$5="A",0,IF(AND(Assumptions!V$187&gt;=Engagement_Register!$AN$24,Assumptions!V$187&lt;=Engagement_Register!$AH$24,Engagement_Register!$AO$24&gt;0),(Engagement_Register!$AM$24-Engagement_Register!$AJ$24)*Assumptions!V$200/Engagement_Register!$AO$24,0))</f>
        <v>0</v>
      </c>
      <c r="W26" s="67" t="n">
        <f aca="false">IF(W$5="A",0,IF(AND(Assumptions!W$187&gt;=Engagement_Register!$AN$24,Assumptions!W$187&lt;=Engagement_Register!$AH$24,Engagement_Register!$AO$24&gt;0),(Engagement_Register!$AM$24-Engagement_Register!$AJ$24)*Assumptions!W$200/Engagement_Register!$AO$24,0))</f>
        <v>0</v>
      </c>
      <c r="X26" s="67" t="n">
        <f aca="false">IF(X$5="A",0,IF(AND(Assumptions!X$187&gt;=Engagement_Register!$AN$24,Assumptions!X$187&lt;=Engagement_Register!$AH$24,Engagement_Register!$AO$24&gt;0),(Engagement_Register!$AM$24-Engagement_Register!$AJ$24)*Assumptions!X$200/Engagement_Register!$AO$24,0))</f>
        <v>0</v>
      </c>
      <c r="Y26" s="67" t="n">
        <f aca="false">IF(Y$5="A",0,IF(AND(Assumptions!Y$187&gt;=Engagement_Register!$AN$24,Assumptions!Y$187&lt;=Engagement_Register!$AH$24,Engagement_Register!$AO$24&gt;0),(Engagement_Register!$AM$24-Engagement_Register!$AJ$24)*Assumptions!Y$200/Engagement_Register!$AO$24,0))</f>
        <v>0</v>
      </c>
      <c r="Z26" s="67" t="n">
        <f aca="false">IF(Z$5="A",0,IF(AND(Assumptions!Z$187&gt;=Engagement_Register!$AN$24,Assumptions!Z$187&lt;=Engagement_Register!$AH$24,Engagement_Register!$AO$24&gt;0),(Engagement_Register!$AM$24-Engagement_Register!$AJ$24)*Assumptions!Z$200/Engagement_Register!$AO$24,0))</f>
        <v>0</v>
      </c>
      <c r="AA26" s="67" t="n">
        <f aca="false">IF(AA$5="A",0,IF(AND(Assumptions!AA$187&gt;=Engagement_Register!$AN$24,Assumptions!AA$187&lt;=Engagement_Register!$AH$24,Engagement_Register!$AO$24&gt;0),(Engagement_Register!$AM$24-Engagement_Register!$AJ$24)*Assumptions!AA$200/Engagement_Register!$AO$24,0))</f>
        <v>0</v>
      </c>
      <c r="AB26" s="67" t="n">
        <f aca="false">IF(AB$5="A",0,IF(AND(Assumptions!AB$187&gt;=Engagement_Register!$AN$24,Assumptions!AB$187&lt;=Engagement_Register!$AH$24,Engagement_Register!$AO$24&gt;0),(Engagement_Register!$AM$24-Engagement_Register!$AJ$24)*Assumptions!AB$200/Engagement_Register!$AO$24,0))</f>
        <v>0</v>
      </c>
    </row>
    <row r="27" customFormat="false" ht="15" hidden="false" customHeight="false" outlineLevel="0" collapsed="false">
      <c r="A27" s="29" t="s">
        <v>816</v>
      </c>
      <c r="B27" s="60" t="s">
        <v>798</v>
      </c>
      <c r="C27" s="66" t="n">
        <f aca="false">SUM(E27:P27)</f>
        <v>1445.54536950421</v>
      </c>
      <c r="D27" s="66" t="n">
        <f aca="false">SUM(Q27:AB27)</f>
        <v>631.45463049579</v>
      </c>
      <c r="E27" s="67" t="n">
        <f aca="false">IF(E$5="A",0,IF(AND(Assumptions!E$187&gt;=Engagement_Register!$AN$25,Assumptions!E$187&lt;=Engagement_Register!$AH$25,Engagement_Register!$AO$25&gt;0),(Engagement_Register!$AM$25-Engagement_Register!$AJ$25)*Assumptions!E$200/Engagement_Register!$AO$25,0))</f>
        <v>0</v>
      </c>
      <c r="F27" s="67" t="n">
        <f aca="false">IF(F$5="A",0,IF(AND(Assumptions!F$187&gt;=Engagement_Register!$AN$25,Assumptions!F$187&lt;=Engagement_Register!$AH$25,Engagement_Register!$AO$25&gt;0),(Engagement_Register!$AM$25-Engagement_Register!$AJ$25)*Assumptions!F$200/Engagement_Register!$AO$25,0))</f>
        <v>0</v>
      </c>
      <c r="G27" s="67" t="n">
        <f aca="false">IF(G$5="A",0,IF(AND(Assumptions!G$187&gt;=Engagement_Register!$AN$25,Assumptions!G$187&lt;=Engagement_Register!$AH$25,Engagement_Register!$AO$25&gt;0),(Engagement_Register!$AM$25-Engagement_Register!$AJ$25)*Assumptions!G$200/Engagement_Register!$AO$25,0))</f>
        <v>0</v>
      </c>
      <c r="H27" s="67" t="n">
        <f aca="false">IF(H$5="A",0,IF(AND(Assumptions!H$187&gt;=Engagement_Register!$AN$25,Assumptions!H$187&lt;=Engagement_Register!$AH$25,Engagement_Register!$AO$25&gt;0),(Engagement_Register!$AM$25-Engagement_Register!$AJ$25)*Assumptions!H$200/Engagement_Register!$AO$25,0))</f>
        <v>0</v>
      </c>
      <c r="I27" s="67" t="n">
        <f aca="false">IF(I$5="A",0,IF(AND(Assumptions!I$187&gt;=Engagement_Register!$AN$25,Assumptions!I$187&lt;=Engagement_Register!$AH$25,Engagement_Register!$AO$25&gt;0),(Engagement_Register!$AM$25-Engagement_Register!$AJ$25)*Assumptions!I$200/Engagement_Register!$AO$25,0))</f>
        <v>0</v>
      </c>
      <c r="J27" s="67" t="n">
        <f aca="false">IF(J$5="A",0,IF(AND(Assumptions!J$187&gt;=Engagement_Register!$AN$25,Assumptions!J$187&lt;=Engagement_Register!$AH$25,Engagement_Register!$AO$25&gt;0),(Engagement_Register!$AM$25-Engagement_Register!$AJ$25)*Assumptions!J$200/Engagement_Register!$AO$25,0))</f>
        <v>0</v>
      </c>
      <c r="K27" s="67" t="n">
        <f aca="false">IF(K$5="A",0,IF(AND(Assumptions!K$187&gt;=Engagement_Register!$AN$25,Assumptions!K$187&lt;=Engagement_Register!$AH$25,Engagement_Register!$AO$25&gt;0),(Engagement_Register!$AM$25-Engagement_Register!$AJ$25)*Assumptions!K$200/Engagement_Register!$AO$25,0))</f>
        <v>0</v>
      </c>
      <c r="L27" s="67" t="n">
        <f aca="false">IF(L$5="A",0,IF(AND(Assumptions!L$187&gt;=Engagement_Register!$AN$25,Assumptions!L$187&lt;=Engagement_Register!$AH$25,Engagement_Register!$AO$25&gt;0),(Engagement_Register!$AM$25-Engagement_Register!$AJ$25)*Assumptions!L$200/Engagement_Register!$AO$25,0))</f>
        <v>0</v>
      </c>
      <c r="M27" s="67" t="n">
        <f aca="false">IF(M$5="A",0,IF(AND(Assumptions!M$187&gt;=Engagement_Register!$AN$25,Assumptions!M$187&lt;=Engagement_Register!$AH$25,Engagement_Register!$AO$25&gt;0),(Engagement_Register!$AM$25-Engagement_Register!$AJ$25)*Assumptions!M$200/Engagement_Register!$AO$25,0))</f>
        <v>371.101028999065</v>
      </c>
      <c r="N27" s="67" t="n">
        <f aca="false">IF(N$5="A",0,IF(AND(Assumptions!N$187&gt;=Engagement_Register!$AN$25,Assumptions!N$187&lt;=Engagement_Register!$AH$25,Engagement_Register!$AO$25&gt;0),(Engagement_Register!$AM$25-Engagement_Register!$AJ$25)*Assumptions!N$200/Engagement_Register!$AO$25,0))</f>
        <v>357.500467726848</v>
      </c>
      <c r="O27" s="67" t="n">
        <f aca="false">IF(O$5="A",0,IF(AND(Assumptions!O$187&gt;=Engagement_Register!$AN$25,Assumptions!O$187&lt;=Engagement_Register!$AH$25,Engagement_Register!$AO$25&gt;0),(Engagement_Register!$AM$25-Engagement_Register!$AJ$25)*Assumptions!O$200/Engagement_Register!$AO$25,0))</f>
        <v>353.614593077643</v>
      </c>
      <c r="P27" s="67" t="n">
        <f aca="false">IF(P$5="A",0,IF(AND(Assumptions!P$187&gt;=Engagement_Register!$AN$25,Assumptions!P$187&lt;=Engagement_Register!$AH$25,Engagement_Register!$AO$25&gt;0),(Engagement_Register!$AM$25-Engagement_Register!$AJ$25)*Assumptions!P$200/Engagement_Register!$AO$25,0))</f>
        <v>363.329279700655</v>
      </c>
      <c r="Q27" s="67" t="n">
        <f aca="false">IF(Q$5="A",0,IF(AND(Assumptions!Q$187&gt;=Engagement_Register!$AN$25,Assumptions!Q$187&lt;=Engagement_Register!$AH$25,Engagement_Register!$AO$25&gt;0),(Engagement_Register!$AM$25-Engagement_Register!$AJ$25)*Assumptions!Q$200/Engagement_Register!$AO$25,0))</f>
        <v>310.869971936389</v>
      </c>
      <c r="R27" s="67" t="n">
        <f aca="false">IF(R$5="A",0,IF(AND(Assumptions!R$187&gt;=Engagement_Register!$AN$25,Assumptions!R$187&lt;=Engagement_Register!$AH$25,Engagement_Register!$AO$25&gt;0),(Engagement_Register!$AM$25-Engagement_Register!$AJ$25)*Assumptions!R$200/Engagement_Register!$AO$25,0))</f>
        <v>320.584658559401</v>
      </c>
      <c r="S27" s="67" t="n">
        <f aca="false">IF(S$5="A",0,IF(AND(Assumptions!S$187&gt;=Engagement_Register!$AN$25,Assumptions!S$187&lt;=Engagement_Register!$AH$25,Engagement_Register!$AO$25&gt;0),(Engagement_Register!$AM$25-Engagement_Register!$AJ$25)*Assumptions!S$200/Engagement_Register!$AO$25,0))</f>
        <v>0</v>
      </c>
      <c r="T27" s="67" t="n">
        <f aca="false">IF(T$5="A",0,IF(AND(Assumptions!T$187&gt;=Engagement_Register!$AN$25,Assumptions!T$187&lt;=Engagement_Register!$AH$25,Engagement_Register!$AO$25&gt;0),(Engagement_Register!$AM$25-Engagement_Register!$AJ$25)*Assumptions!T$200/Engagement_Register!$AO$25,0))</f>
        <v>0</v>
      </c>
      <c r="U27" s="67" t="n">
        <f aca="false">IF(U$5="A",0,IF(AND(Assumptions!U$187&gt;=Engagement_Register!$AN$25,Assumptions!U$187&lt;=Engagement_Register!$AH$25,Engagement_Register!$AO$25&gt;0),(Engagement_Register!$AM$25-Engagement_Register!$AJ$25)*Assumptions!U$200/Engagement_Register!$AO$25,0))</f>
        <v>0</v>
      </c>
      <c r="V27" s="67" t="n">
        <f aca="false">IF(V$5="A",0,IF(AND(Assumptions!V$187&gt;=Engagement_Register!$AN$25,Assumptions!V$187&lt;=Engagement_Register!$AH$25,Engagement_Register!$AO$25&gt;0),(Engagement_Register!$AM$25-Engagement_Register!$AJ$25)*Assumptions!V$200/Engagement_Register!$AO$25,0))</f>
        <v>0</v>
      </c>
      <c r="W27" s="67" t="n">
        <f aca="false">IF(W$5="A",0,IF(AND(Assumptions!W$187&gt;=Engagement_Register!$AN$25,Assumptions!W$187&lt;=Engagement_Register!$AH$25,Engagement_Register!$AO$25&gt;0),(Engagement_Register!$AM$25-Engagement_Register!$AJ$25)*Assumptions!W$200/Engagement_Register!$AO$25,0))</f>
        <v>0</v>
      </c>
      <c r="X27" s="67" t="n">
        <f aca="false">IF(X$5="A",0,IF(AND(Assumptions!X$187&gt;=Engagement_Register!$AN$25,Assumptions!X$187&lt;=Engagement_Register!$AH$25,Engagement_Register!$AO$25&gt;0),(Engagement_Register!$AM$25-Engagement_Register!$AJ$25)*Assumptions!X$200/Engagement_Register!$AO$25,0))</f>
        <v>0</v>
      </c>
      <c r="Y27" s="67" t="n">
        <f aca="false">IF(Y$5="A",0,IF(AND(Assumptions!Y$187&gt;=Engagement_Register!$AN$25,Assumptions!Y$187&lt;=Engagement_Register!$AH$25,Engagement_Register!$AO$25&gt;0),(Engagement_Register!$AM$25-Engagement_Register!$AJ$25)*Assumptions!Y$200/Engagement_Register!$AO$25,0))</f>
        <v>0</v>
      </c>
      <c r="Z27" s="67" t="n">
        <f aca="false">IF(Z$5="A",0,IF(AND(Assumptions!Z$187&gt;=Engagement_Register!$AN$25,Assumptions!Z$187&lt;=Engagement_Register!$AH$25,Engagement_Register!$AO$25&gt;0),(Engagement_Register!$AM$25-Engagement_Register!$AJ$25)*Assumptions!Z$200/Engagement_Register!$AO$25,0))</f>
        <v>0</v>
      </c>
      <c r="AA27" s="67" t="n">
        <f aca="false">IF(AA$5="A",0,IF(AND(Assumptions!AA$187&gt;=Engagement_Register!$AN$25,Assumptions!AA$187&lt;=Engagement_Register!$AH$25,Engagement_Register!$AO$25&gt;0),(Engagement_Register!$AM$25-Engagement_Register!$AJ$25)*Assumptions!AA$200/Engagement_Register!$AO$25,0))</f>
        <v>0</v>
      </c>
      <c r="AB27" s="67" t="n">
        <f aca="false">IF(AB$5="A",0,IF(AND(Assumptions!AB$187&gt;=Engagement_Register!$AN$25,Assumptions!AB$187&lt;=Engagement_Register!$AH$25,Engagement_Register!$AO$25&gt;0),(Engagement_Register!$AM$25-Engagement_Register!$AJ$25)*Assumptions!AB$200/Engagement_Register!$AO$25,0))</f>
        <v>0</v>
      </c>
    </row>
    <row r="28" customFormat="false" ht="15" hidden="false" customHeight="false" outlineLevel="0" collapsed="false">
      <c r="A28" s="29" t="s">
        <v>817</v>
      </c>
      <c r="B28" s="60" t="s">
        <v>798</v>
      </c>
      <c r="C28" s="66" t="n">
        <f aca="false">SUM(E28:P28)</f>
        <v>561.91935483871</v>
      </c>
      <c r="D28" s="66" t="n">
        <f aca="false">SUM(Q28:AB28)</f>
        <v>162.58064516129</v>
      </c>
      <c r="E28" s="67" t="n">
        <f aca="false">IF(E$5="A",0,IF(AND(Assumptions!E$187&gt;=Engagement_Register!$AN$26,Assumptions!E$187&lt;=Engagement_Register!$AH$26,Engagement_Register!$AO$26&gt;0),(Engagement_Register!$AM$26-Engagement_Register!$AJ$26)*Assumptions!E$200/Engagement_Register!$AO$26,0))</f>
        <v>0</v>
      </c>
      <c r="F28" s="67" t="n">
        <f aca="false">IF(F$5="A",0,IF(AND(Assumptions!F$187&gt;=Engagement_Register!$AN$26,Assumptions!F$187&lt;=Engagement_Register!$AH$26,Engagement_Register!$AO$26&gt;0),(Engagement_Register!$AM$26-Engagement_Register!$AJ$26)*Assumptions!F$200/Engagement_Register!$AO$26,0))</f>
        <v>0</v>
      </c>
      <c r="G28" s="67" t="n">
        <f aca="false">IF(G$5="A",0,IF(AND(Assumptions!G$187&gt;=Engagement_Register!$AN$26,Assumptions!G$187&lt;=Engagement_Register!$AH$26,Engagement_Register!$AO$26&gt;0),(Engagement_Register!$AM$26-Engagement_Register!$AJ$26)*Assumptions!G$200/Engagement_Register!$AO$26,0))</f>
        <v>0</v>
      </c>
      <c r="H28" s="67" t="n">
        <f aca="false">IF(H$5="A",0,IF(AND(Assumptions!H$187&gt;=Engagement_Register!$AN$26,Assumptions!H$187&lt;=Engagement_Register!$AH$26,Engagement_Register!$AO$26&gt;0),(Engagement_Register!$AM$26-Engagement_Register!$AJ$26)*Assumptions!H$200/Engagement_Register!$AO$26,0))</f>
        <v>0</v>
      </c>
      <c r="I28" s="67" t="n">
        <f aca="false">IF(I$5="A",0,IF(AND(Assumptions!I$187&gt;=Engagement_Register!$AN$26,Assumptions!I$187&lt;=Engagement_Register!$AH$26,Engagement_Register!$AO$26&gt;0),(Engagement_Register!$AM$26-Engagement_Register!$AJ$26)*Assumptions!I$200/Engagement_Register!$AO$26,0))</f>
        <v>0</v>
      </c>
      <c r="J28" s="67" t="n">
        <f aca="false">IF(J$5="A",0,IF(AND(Assumptions!J$187&gt;=Engagement_Register!$AN$26,Assumptions!J$187&lt;=Engagement_Register!$AH$26,Engagement_Register!$AO$26&gt;0),(Engagement_Register!$AM$26-Engagement_Register!$AJ$26)*Assumptions!J$200/Engagement_Register!$AO$26,0))</f>
        <v>0</v>
      </c>
      <c r="K28" s="67" t="n">
        <f aca="false">IF(K$5="A",0,IF(AND(Assumptions!K$187&gt;=Engagement_Register!$AN$26,Assumptions!K$187&lt;=Engagement_Register!$AH$26,Engagement_Register!$AO$26&gt;0),(Engagement_Register!$AM$26-Engagement_Register!$AJ$26)*Assumptions!K$200/Engagement_Register!$AO$26,0))</f>
        <v>0</v>
      </c>
      <c r="L28" s="67" t="n">
        <f aca="false">IF(L$5="A",0,IF(AND(Assumptions!L$187&gt;=Engagement_Register!$AN$26,Assumptions!L$187&lt;=Engagement_Register!$AH$26,Engagement_Register!$AO$26&gt;0),(Engagement_Register!$AM$26-Engagement_Register!$AJ$26)*Assumptions!L$200/Engagement_Register!$AO$26,0))</f>
        <v>0</v>
      </c>
      <c r="M28" s="67" t="n">
        <f aca="false">IF(M$5="A",0,IF(AND(Assumptions!M$187&gt;=Engagement_Register!$AN$26,Assumptions!M$187&lt;=Engagement_Register!$AH$26,Engagement_Register!$AO$26&gt;0),(Engagement_Register!$AM$26-Engagement_Register!$AJ$26)*Assumptions!M$200/Engagement_Register!$AO$26,0))</f>
        <v>0</v>
      </c>
      <c r="N28" s="67" t="n">
        <f aca="false">IF(N$5="A",0,IF(AND(Assumptions!N$187&gt;=Engagement_Register!$AN$26,Assumptions!N$187&lt;=Engagement_Register!$AH$26,Engagement_Register!$AO$26&gt;0),(Engagement_Register!$AM$26-Engagement_Register!$AJ$26)*Assumptions!N$200/Engagement_Register!$AO$26,0))</f>
        <v>186.967741935484</v>
      </c>
      <c r="O28" s="67" t="n">
        <f aca="false">IF(O$5="A",0,IF(AND(Assumptions!O$187&gt;=Engagement_Register!$AN$26,Assumptions!O$187&lt;=Engagement_Register!$AH$26,Engagement_Register!$AO$26&gt;0),(Engagement_Register!$AM$26-Engagement_Register!$AJ$26)*Assumptions!O$200/Engagement_Register!$AO$26,0))</f>
        <v>184.935483870968</v>
      </c>
      <c r="P28" s="67" t="n">
        <f aca="false">IF(P$5="A",0,IF(AND(Assumptions!P$187&gt;=Engagement_Register!$AN$26,Assumptions!P$187&lt;=Engagement_Register!$AH$26,Engagement_Register!$AO$26&gt;0),(Engagement_Register!$AM$26-Engagement_Register!$AJ$26)*Assumptions!P$200/Engagement_Register!$AO$26,0))</f>
        <v>190.016129032258</v>
      </c>
      <c r="Q28" s="67" t="n">
        <f aca="false">IF(Q$5="A",0,IF(AND(Assumptions!Q$187&gt;=Engagement_Register!$AN$26,Assumptions!Q$187&lt;=Engagement_Register!$AH$26,Engagement_Register!$AO$26&gt;0),(Engagement_Register!$AM$26-Engagement_Register!$AJ$26)*Assumptions!Q$200/Engagement_Register!$AO$26,0))</f>
        <v>162.58064516129</v>
      </c>
      <c r="R28" s="67" t="n">
        <f aca="false">IF(R$5="A",0,IF(AND(Assumptions!R$187&gt;=Engagement_Register!$AN$26,Assumptions!R$187&lt;=Engagement_Register!$AH$26,Engagement_Register!$AO$26&gt;0),(Engagement_Register!$AM$26-Engagement_Register!$AJ$26)*Assumptions!R$200/Engagement_Register!$AO$26,0))</f>
        <v>0</v>
      </c>
      <c r="S28" s="67" t="n">
        <f aca="false">IF(S$5="A",0,IF(AND(Assumptions!S$187&gt;=Engagement_Register!$AN$26,Assumptions!S$187&lt;=Engagement_Register!$AH$26,Engagement_Register!$AO$26&gt;0),(Engagement_Register!$AM$26-Engagement_Register!$AJ$26)*Assumptions!S$200/Engagement_Register!$AO$26,0))</f>
        <v>0</v>
      </c>
      <c r="T28" s="67" t="n">
        <f aca="false">IF(T$5="A",0,IF(AND(Assumptions!T$187&gt;=Engagement_Register!$AN$26,Assumptions!T$187&lt;=Engagement_Register!$AH$26,Engagement_Register!$AO$26&gt;0),(Engagement_Register!$AM$26-Engagement_Register!$AJ$26)*Assumptions!T$200/Engagement_Register!$AO$26,0))</f>
        <v>0</v>
      </c>
      <c r="U28" s="67" t="n">
        <f aca="false">IF(U$5="A",0,IF(AND(Assumptions!U$187&gt;=Engagement_Register!$AN$26,Assumptions!U$187&lt;=Engagement_Register!$AH$26,Engagement_Register!$AO$26&gt;0),(Engagement_Register!$AM$26-Engagement_Register!$AJ$26)*Assumptions!U$200/Engagement_Register!$AO$26,0))</f>
        <v>0</v>
      </c>
      <c r="V28" s="67" t="n">
        <f aca="false">IF(V$5="A",0,IF(AND(Assumptions!V$187&gt;=Engagement_Register!$AN$26,Assumptions!V$187&lt;=Engagement_Register!$AH$26,Engagement_Register!$AO$26&gt;0),(Engagement_Register!$AM$26-Engagement_Register!$AJ$26)*Assumptions!V$200/Engagement_Register!$AO$26,0))</f>
        <v>0</v>
      </c>
      <c r="W28" s="67" t="n">
        <f aca="false">IF(W$5="A",0,IF(AND(Assumptions!W$187&gt;=Engagement_Register!$AN$26,Assumptions!W$187&lt;=Engagement_Register!$AH$26,Engagement_Register!$AO$26&gt;0),(Engagement_Register!$AM$26-Engagement_Register!$AJ$26)*Assumptions!W$200/Engagement_Register!$AO$26,0))</f>
        <v>0</v>
      </c>
      <c r="X28" s="67" t="n">
        <f aca="false">IF(X$5="A",0,IF(AND(Assumptions!X$187&gt;=Engagement_Register!$AN$26,Assumptions!X$187&lt;=Engagement_Register!$AH$26,Engagement_Register!$AO$26&gt;0),(Engagement_Register!$AM$26-Engagement_Register!$AJ$26)*Assumptions!X$200/Engagement_Register!$AO$26,0))</f>
        <v>0</v>
      </c>
      <c r="Y28" s="67" t="n">
        <f aca="false">IF(Y$5="A",0,IF(AND(Assumptions!Y$187&gt;=Engagement_Register!$AN$26,Assumptions!Y$187&lt;=Engagement_Register!$AH$26,Engagement_Register!$AO$26&gt;0),(Engagement_Register!$AM$26-Engagement_Register!$AJ$26)*Assumptions!Y$200/Engagement_Register!$AO$26,0))</f>
        <v>0</v>
      </c>
      <c r="Z28" s="67" t="n">
        <f aca="false">IF(Z$5="A",0,IF(AND(Assumptions!Z$187&gt;=Engagement_Register!$AN$26,Assumptions!Z$187&lt;=Engagement_Register!$AH$26,Engagement_Register!$AO$26&gt;0),(Engagement_Register!$AM$26-Engagement_Register!$AJ$26)*Assumptions!Z$200/Engagement_Register!$AO$26,0))</f>
        <v>0</v>
      </c>
      <c r="AA28" s="67" t="n">
        <f aca="false">IF(AA$5="A",0,IF(AND(Assumptions!AA$187&gt;=Engagement_Register!$AN$26,Assumptions!AA$187&lt;=Engagement_Register!$AH$26,Engagement_Register!$AO$26&gt;0),(Engagement_Register!$AM$26-Engagement_Register!$AJ$26)*Assumptions!AA$200/Engagement_Register!$AO$26,0))</f>
        <v>0</v>
      </c>
      <c r="AB28" s="67" t="n">
        <f aca="false">IF(AB$5="A",0,IF(AND(Assumptions!AB$187&gt;=Engagement_Register!$AN$26,Assumptions!AB$187&lt;=Engagement_Register!$AH$26,Engagement_Register!$AO$26&gt;0),(Engagement_Register!$AM$26-Engagement_Register!$AJ$26)*Assumptions!AB$200/Engagement_Register!$AO$26,0))</f>
        <v>0</v>
      </c>
    </row>
    <row r="29" customFormat="false" ht="15" hidden="false" customHeight="false" outlineLevel="0" collapsed="false">
      <c r="A29" s="29" t="s">
        <v>818</v>
      </c>
      <c r="B29" s="60" t="s">
        <v>798</v>
      </c>
      <c r="C29" s="66" t="n">
        <f aca="false">SUM(E29:P29)</f>
        <v>651</v>
      </c>
      <c r="D29" s="66" t="n">
        <f aca="false">SUM(Q29:AB29)</f>
        <v>0</v>
      </c>
      <c r="E29" s="67" t="n">
        <f aca="false">IF(E$5="A",0,IF(AND(Assumptions!E$187&gt;=Engagement_Register!$AN$27,Assumptions!E$187&lt;=Engagement_Register!$AH$27,Engagement_Register!$AO$27&gt;0),(Engagement_Register!$AM$27-Engagement_Register!$AJ$27)*Assumptions!E$200/Engagement_Register!$AO$27,0))</f>
        <v>0</v>
      </c>
      <c r="F29" s="67" t="n">
        <f aca="false">IF(F$5="A",0,IF(AND(Assumptions!F$187&gt;=Engagement_Register!$AN$27,Assumptions!F$187&lt;=Engagement_Register!$AH$27,Engagement_Register!$AO$27&gt;0),(Engagement_Register!$AM$27-Engagement_Register!$AJ$27)*Assumptions!F$200/Engagement_Register!$AO$27,0))</f>
        <v>0</v>
      </c>
      <c r="G29" s="67" t="n">
        <f aca="false">IF(G$5="A",0,IF(AND(Assumptions!G$187&gt;=Engagement_Register!$AN$27,Assumptions!G$187&lt;=Engagement_Register!$AH$27,Engagement_Register!$AO$27&gt;0),(Engagement_Register!$AM$27-Engagement_Register!$AJ$27)*Assumptions!G$200/Engagement_Register!$AO$27,0))</f>
        <v>0</v>
      </c>
      <c r="H29" s="67" t="n">
        <f aca="false">IF(H$5="A",0,IF(AND(Assumptions!H$187&gt;=Engagement_Register!$AN$27,Assumptions!H$187&lt;=Engagement_Register!$AH$27,Engagement_Register!$AO$27&gt;0),(Engagement_Register!$AM$27-Engagement_Register!$AJ$27)*Assumptions!H$200/Engagement_Register!$AO$27,0))</f>
        <v>0</v>
      </c>
      <c r="I29" s="67" t="n">
        <f aca="false">IF(I$5="A",0,IF(AND(Assumptions!I$187&gt;=Engagement_Register!$AN$27,Assumptions!I$187&lt;=Engagement_Register!$AH$27,Engagement_Register!$AO$27&gt;0),(Engagement_Register!$AM$27-Engagement_Register!$AJ$27)*Assumptions!I$200/Engagement_Register!$AO$27,0))</f>
        <v>0</v>
      </c>
      <c r="J29" s="67" t="n">
        <f aca="false">IF(J$5="A",0,IF(AND(Assumptions!J$187&gt;=Engagement_Register!$AN$27,Assumptions!J$187&lt;=Engagement_Register!$AH$27,Engagement_Register!$AO$27&gt;0),(Engagement_Register!$AM$27-Engagement_Register!$AJ$27)*Assumptions!J$200/Engagement_Register!$AO$27,0))</f>
        <v>0</v>
      </c>
      <c r="K29" s="67" t="n">
        <f aca="false">IF(K$5="A",0,IF(AND(Assumptions!K$187&gt;=Engagement_Register!$AN$27,Assumptions!K$187&lt;=Engagement_Register!$AH$27,Engagement_Register!$AO$27&gt;0),(Engagement_Register!$AM$27-Engagement_Register!$AJ$27)*Assumptions!K$200/Engagement_Register!$AO$27,0))</f>
        <v>0</v>
      </c>
      <c r="L29" s="67" t="n">
        <f aca="false">IF(L$5="A",0,IF(AND(Assumptions!L$187&gt;=Engagement_Register!$AN$27,Assumptions!L$187&lt;=Engagement_Register!$AH$27,Engagement_Register!$AO$27&gt;0),(Engagement_Register!$AM$27-Engagement_Register!$AJ$27)*Assumptions!L$200/Engagement_Register!$AO$27,0))</f>
        <v>0</v>
      </c>
      <c r="M29" s="67" t="n">
        <f aca="false">IF(M$5="A",0,IF(AND(Assumptions!M$187&gt;=Engagement_Register!$AN$27,Assumptions!M$187&lt;=Engagement_Register!$AH$27,Engagement_Register!$AO$27&gt;0),(Engagement_Register!$AM$27-Engagement_Register!$AJ$27)*Assumptions!M$200/Engagement_Register!$AO$27,0))</f>
        <v>0</v>
      </c>
      <c r="N29" s="67" t="n">
        <f aca="false">IF(N$5="A",0,IF(AND(Assumptions!N$187&gt;=Engagement_Register!$AN$27,Assumptions!N$187&lt;=Engagement_Register!$AH$27,Engagement_Register!$AO$27&gt;0),(Engagement_Register!$AM$27-Engagement_Register!$AJ$27)*Assumptions!N$200/Engagement_Register!$AO$27,0))</f>
        <v>216.607594936709</v>
      </c>
      <c r="O29" s="67" t="n">
        <f aca="false">IF(O$5="A",0,IF(AND(Assumptions!O$187&gt;=Engagement_Register!$AN$27,Assumptions!O$187&lt;=Engagement_Register!$AH$27,Engagement_Register!$AO$27&gt;0),(Engagement_Register!$AM$27-Engagement_Register!$AJ$27)*Assumptions!O$200/Engagement_Register!$AO$27,0))</f>
        <v>214.253164556962</v>
      </c>
      <c r="P29" s="67" t="n">
        <f aca="false">IF(P$5="A",0,IF(AND(Assumptions!P$187&gt;=Engagement_Register!$AN$27,Assumptions!P$187&lt;=Engagement_Register!$AH$27,Engagement_Register!$AO$27&gt;0),(Engagement_Register!$AM$27-Engagement_Register!$AJ$27)*Assumptions!P$200/Engagement_Register!$AO$27,0))</f>
        <v>220.139240506329</v>
      </c>
      <c r="Q29" s="67" t="n">
        <f aca="false">IF(Q$5="A",0,IF(AND(Assumptions!Q$187&gt;=Engagement_Register!$AN$27,Assumptions!Q$187&lt;=Engagement_Register!$AH$27,Engagement_Register!$AO$27&gt;0),(Engagement_Register!$AM$27-Engagement_Register!$AJ$27)*Assumptions!Q$200/Engagement_Register!$AO$27,0))</f>
        <v>0</v>
      </c>
      <c r="R29" s="67" t="n">
        <f aca="false">IF(R$5="A",0,IF(AND(Assumptions!R$187&gt;=Engagement_Register!$AN$27,Assumptions!R$187&lt;=Engagement_Register!$AH$27,Engagement_Register!$AO$27&gt;0),(Engagement_Register!$AM$27-Engagement_Register!$AJ$27)*Assumptions!R$200/Engagement_Register!$AO$27,0))</f>
        <v>0</v>
      </c>
      <c r="S29" s="67" t="n">
        <f aca="false">IF(S$5="A",0,IF(AND(Assumptions!S$187&gt;=Engagement_Register!$AN$27,Assumptions!S$187&lt;=Engagement_Register!$AH$27,Engagement_Register!$AO$27&gt;0),(Engagement_Register!$AM$27-Engagement_Register!$AJ$27)*Assumptions!S$200/Engagement_Register!$AO$27,0))</f>
        <v>0</v>
      </c>
      <c r="T29" s="67" t="n">
        <f aca="false">IF(T$5="A",0,IF(AND(Assumptions!T$187&gt;=Engagement_Register!$AN$27,Assumptions!T$187&lt;=Engagement_Register!$AH$27,Engagement_Register!$AO$27&gt;0),(Engagement_Register!$AM$27-Engagement_Register!$AJ$27)*Assumptions!T$200/Engagement_Register!$AO$27,0))</f>
        <v>0</v>
      </c>
      <c r="U29" s="67" t="n">
        <f aca="false">IF(U$5="A",0,IF(AND(Assumptions!U$187&gt;=Engagement_Register!$AN$27,Assumptions!U$187&lt;=Engagement_Register!$AH$27,Engagement_Register!$AO$27&gt;0),(Engagement_Register!$AM$27-Engagement_Register!$AJ$27)*Assumptions!U$200/Engagement_Register!$AO$27,0))</f>
        <v>0</v>
      </c>
      <c r="V29" s="67" t="n">
        <f aca="false">IF(V$5="A",0,IF(AND(Assumptions!V$187&gt;=Engagement_Register!$AN$27,Assumptions!V$187&lt;=Engagement_Register!$AH$27,Engagement_Register!$AO$27&gt;0),(Engagement_Register!$AM$27-Engagement_Register!$AJ$27)*Assumptions!V$200/Engagement_Register!$AO$27,0))</f>
        <v>0</v>
      </c>
      <c r="W29" s="67" t="n">
        <f aca="false">IF(W$5="A",0,IF(AND(Assumptions!W$187&gt;=Engagement_Register!$AN$27,Assumptions!W$187&lt;=Engagement_Register!$AH$27,Engagement_Register!$AO$27&gt;0),(Engagement_Register!$AM$27-Engagement_Register!$AJ$27)*Assumptions!W$200/Engagement_Register!$AO$27,0))</f>
        <v>0</v>
      </c>
      <c r="X29" s="67" t="n">
        <f aca="false">IF(X$5="A",0,IF(AND(Assumptions!X$187&gt;=Engagement_Register!$AN$27,Assumptions!X$187&lt;=Engagement_Register!$AH$27,Engagement_Register!$AO$27&gt;0),(Engagement_Register!$AM$27-Engagement_Register!$AJ$27)*Assumptions!X$200/Engagement_Register!$AO$27,0))</f>
        <v>0</v>
      </c>
      <c r="Y29" s="67" t="n">
        <f aca="false">IF(Y$5="A",0,IF(AND(Assumptions!Y$187&gt;=Engagement_Register!$AN$27,Assumptions!Y$187&lt;=Engagement_Register!$AH$27,Engagement_Register!$AO$27&gt;0),(Engagement_Register!$AM$27-Engagement_Register!$AJ$27)*Assumptions!Y$200/Engagement_Register!$AO$27,0))</f>
        <v>0</v>
      </c>
      <c r="Z29" s="67" t="n">
        <f aca="false">IF(Z$5="A",0,IF(AND(Assumptions!Z$187&gt;=Engagement_Register!$AN$27,Assumptions!Z$187&lt;=Engagement_Register!$AH$27,Engagement_Register!$AO$27&gt;0),(Engagement_Register!$AM$27-Engagement_Register!$AJ$27)*Assumptions!Z$200/Engagement_Register!$AO$27,0))</f>
        <v>0</v>
      </c>
      <c r="AA29" s="67" t="n">
        <f aca="false">IF(AA$5="A",0,IF(AND(Assumptions!AA$187&gt;=Engagement_Register!$AN$27,Assumptions!AA$187&lt;=Engagement_Register!$AH$27,Engagement_Register!$AO$27&gt;0),(Engagement_Register!$AM$27-Engagement_Register!$AJ$27)*Assumptions!AA$200/Engagement_Register!$AO$27,0))</f>
        <v>0</v>
      </c>
      <c r="AB29" s="67" t="n">
        <f aca="false">IF(AB$5="A",0,IF(AND(Assumptions!AB$187&gt;=Engagement_Register!$AN$27,Assumptions!AB$187&lt;=Engagement_Register!$AH$27,Engagement_Register!$AO$27&gt;0),(Engagement_Register!$AM$27-Engagement_Register!$AJ$27)*Assumptions!AB$200/Engagement_Register!$AO$27,0))</f>
        <v>0</v>
      </c>
    </row>
    <row r="30" customFormat="false" ht="15" hidden="false" customHeight="false" outlineLevel="0" collapsed="false">
      <c r="A30" s="29" t="s">
        <v>819</v>
      </c>
      <c r="B30" s="60" t="s">
        <v>798</v>
      </c>
      <c r="C30" s="66" t="n">
        <f aca="false">SUM(E30:P30)</f>
        <v>464.045454545455</v>
      </c>
      <c r="D30" s="66" t="n">
        <f aca="false">SUM(Q30:AB30)</f>
        <v>863.954545454545</v>
      </c>
      <c r="E30" s="67" t="n">
        <f aca="false">IF(E$5="A",0,IF(AND(Assumptions!E$187&gt;=Engagement_Register!$AN$28,Assumptions!E$187&lt;=Engagement_Register!$AH$28,Engagement_Register!$AO$28&gt;0),(Engagement_Register!$AM$28-Engagement_Register!$AJ$28)*Assumptions!E$200/Engagement_Register!$AO$28,0))</f>
        <v>0</v>
      </c>
      <c r="F30" s="67" t="n">
        <f aca="false">IF(F$5="A",0,IF(AND(Assumptions!F$187&gt;=Engagement_Register!$AN$28,Assumptions!F$187&lt;=Engagement_Register!$AH$28,Engagement_Register!$AO$28&gt;0),(Engagement_Register!$AM$28-Engagement_Register!$AJ$28)*Assumptions!F$200/Engagement_Register!$AO$28,0))</f>
        <v>0</v>
      </c>
      <c r="G30" s="67" t="n">
        <f aca="false">IF(G$5="A",0,IF(AND(Assumptions!G$187&gt;=Engagement_Register!$AN$28,Assumptions!G$187&lt;=Engagement_Register!$AH$28,Engagement_Register!$AO$28&gt;0),(Engagement_Register!$AM$28-Engagement_Register!$AJ$28)*Assumptions!G$200/Engagement_Register!$AO$28,0))</f>
        <v>0</v>
      </c>
      <c r="H30" s="67" t="n">
        <f aca="false">IF(H$5="A",0,IF(AND(Assumptions!H$187&gt;=Engagement_Register!$AN$28,Assumptions!H$187&lt;=Engagement_Register!$AH$28,Engagement_Register!$AO$28&gt;0),(Engagement_Register!$AM$28-Engagement_Register!$AJ$28)*Assumptions!H$200/Engagement_Register!$AO$28,0))</f>
        <v>0</v>
      </c>
      <c r="I30" s="67" t="n">
        <f aca="false">IF(I$5="A",0,IF(AND(Assumptions!I$187&gt;=Engagement_Register!$AN$28,Assumptions!I$187&lt;=Engagement_Register!$AH$28,Engagement_Register!$AO$28&gt;0),(Engagement_Register!$AM$28-Engagement_Register!$AJ$28)*Assumptions!I$200/Engagement_Register!$AO$28,0))</f>
        <v>0</v>
      </c>
      <c r="J30" s="67" t="n">
        <f aca="false">IF(J$5="A",0,IF(AND(Assumptions!J$187&gt;=Engagement_Register!$AN$28,Assumptions!J$187&lt;=Engagement_Register!$AH$28,Engagement_Register!$AO$28&gt;0),(Engagement_Register!$AM$28-Engagement_Register!$AJ$28)*Assumptions!J$200/Engagement_Register!$AO$28,0))</f>
        <v>0</v>
      </c>
      <c r="K30" s="67" t="n">
        <f aca="false">IF(K$5="A",0,IF(AND(Assumptions!K$187&gt;=Engagement_Register!$AN$28,Assumptions!K$187&lt;=Engagement_Register!$AH$28,Engagement_Register!$AO$28&gt;0),(Engagement_Register!$AM$28-Engagement_Register!$AJ$28)*Assumptions!K$200/Engagement_Register!$AO$28,0))</f>
        <v>0</v>
      </c>
      <c r="L30" s="67" t="n">
        <f aca="false">IF(L$5="A",0,IF(AND(Assumptions!L$187&gt;=Engagement_Register!$AN$28,Assumptions!L$187&lt;=Engagement_Register!$AH$28,Engagement_Register!$AO$28&gt;0),(Engagement_Register!$AM$28-Engagement_Register!$AJ$28)*Assumptions!L$200/Engagement_Register!$AO$28,0))</f>
        <v>0</v>
      </c>
      <c r="M30" s="67" t="n">
        <f aca="false">IF(M$5="A",0,IF(AND(Assumptions!M$187&gt;=Engagement_Register!$AN$28,Assumptions!M$187&lt;=Engagement_Register!$AH$28,Engagement_Register!$AO$28&gt;0),(Engagement_Register!$AM$28-Engagement_Register!$AJ$28)*Assumptions!M$200/Engagement_Register!$AO$28,0))</f>
        <v>0</v>
      </c>
      <c r="N30" s="67" t="n">
        <f aca="false">IF(N$5="A",0,IF(AND(Assumptions!N$187&gt;=Engagement_Register!$AN$28,Assumptions!N$187&lt;=Engagement_Register!$AH$28,Engagement_Register!$AO$28&gt;0),(Engagement_Register!$AM$28-Engagement_Register!$AJ$28)*Assumptions!N$200/Engagement_Register!$AO$28,0))</f>
        <v>0</v>
      </c>
      <c r="O30" s="67" t="n">
        <f aca="false">IF(O$5="A",0,IF(AND(Assumptions!O$187&gt;=Engagement_Register!$AN$28,Assumptions!O$187&lt;=Engagement_Register!$AH$28,Engagement_Register!$AO$28&gt;0),(Engagement_Register!$AM$28-Engagement_Register!$AJ$28)*Assumptions!O$200/Engagement_Register!$AO$28,0))</f>
        <v>228.878787878788</v>
      </c>
      <c r="P30" s="67" t="n">
        <f aca="false">IF(P$5="A",0,IF(AND(Assumptions!P$187&gt;=Engagement_Register!$AN$28,Assumptions!P$187&lt;=Engagement_Register!$AH$28,Engagement_Register!$AO$28&gt;0),(Engagement_Register!$AM$28-Engagement_Register!$AJ$28)*Assumptions!P$200/Engagement_Register!$AO$28,0))</f>
        <v>235.166666666667</v>
      </c>
      <c r="Q30" s="67" t="n">
        <f aca="false">IF(Q$5="A",0,IF(AND(Assumptions!Q$187&gt;=Engagement_Register!$AN$28,Assumptions!Q$187&lt;=Engagement_Register!$AH$28,Engagement_Register!$AO$28&gt;0),(Engagement_Register!$AM$28-Engagement_Register!$AJ$28)*Assumptions!Q$200/Engagement_Register!$AO$28,0))</f>
        <v>201.212121212121</v>
      </c>
      <c r="R30" s="67" t="n">
        <f aca="false">IF(R$5="A",0,IF(AND(Assumptions!R$187&gt;=Engagement_Register!$AN$28,Assumptions!R$187&lt;=Engagement_Register!$AH$28,Engagement_Register!$AO$28&gt;0),(Engagement_Register!$AM$28-Engagement_Register!$AJ$28)*Assumptions!R$200/Engagement_Register!$AO$28,0))</f>
        <v>207.5</v>
      </c>
      <c r="S30" s="67" t="n">
        <f aca="false">IF(S$5="A",0,IF(AND(Assumptions!S$187&gt;=Engagement_Register!$AN$28,Assumptions!S$187&lt;=Engagement_Register!$AH$28,Engagement_Register!$AO$28&gt;0),(Engagement_Register!$AM$28-Engagement_Register!$AJ$28)*Assumptions!S$200/Engagement_Register!$AO$28,0))</f>
        <v>222.590909090909</v>
      </c>
      <c r="T30" s="67" t="n">
        <f aca="false">IF(T$5="A",0,IF(AND(Assumptions!T$187&gt;=Engagement_Register!$AN$28,Assumptions!T$187&lt;=Engagement_Register!$AH$28,Engagement_Register!$AO$28&gt;0),(Engagement_Register!$AM$28-Engagement_Register!$AJ$28)*Assumptions!T$200/Engagement_Register!$AO$28,0))</f>
        <v>232.651515151515</v>
      </c>
      <c r="U30" s="67" t="n">
        <f aca="false">IF(U$5="A",0,IF(AND(Assumptions!U$187&gt;=Engagement_Register!$AN$28,Assumptions!U$187&lt;=Engagement_Register!$AH$28,Engagement_Register!$AO$28&gt;0),(Engagement_Register!$AM$28-Engagement_Register!$AJ$28)*Assumptions!U$200/Engagement_Register!$AO$28,0))</f>
        <v>0</v>
      </c>
      <c r="V30" s="67" t="n">
        <f aca="false">IF(V$5="A",0,IF(AND(Assumptions!V$187&gt;=Engagement_Register!$AN$28,Assumptions!V$187&lt;=Engagement_Register!$AH$28,Engagement_Register!$AO$28&gt;0),(Engagement_Register!$AM$28-Engagement_Register!$AJ$28)*Assumptions!V$200/Engagement_Register!$AO$28,0))</f>
        <v>0</v>
      </c>
      <c r="W30" s="67" t="n">
        <f aca="false">IF(W$5="A",0,IF(AND(Assumptions!W$187&gt;=Engagement_Register!$AN$28,Assumptions!W$187&lt;=Engagement_Register!$AH$28,Engagement_Register!$AO$28&gt;0),(Engagement_Register!$AM$28-Engagement_Register!$AJ$28)*Assumptions!W$200/Engagement_Register!$AO$28,0))</f>
        <v>0</v>
      </c>
      <c r="X30" s="67" t="n">
        <f aca="false">IF(X$5="A",0,IF(AND(Assumptions!X$187&gt;=Engagement_Register!$AN$28,Assumptions!X$187&lt;=Engagement_Register!$AH$28,Engagement_Register!$AO$28&gt;0),(Engagement_Register!$AM$28-Engagement_Register!$AJ$28)*Assumptions!X$200/Engagement_Register!$AO$28,0))</f>
        <v>0</v>
      </c>
      <c r="Y30" s="67" t="n">
        <f aca="false">IF(Y$5="A",0,IF(AND(Assumptions!Y$187&gt;=Engagement_Register!$AN$28,Assumptions!Y$187&lt;=Engagement_Register!$AH$28,Engagement_Register!$AO$28&gt;0),(Engagement_Register!$AM$28-Engagement_Register!$AJ$28)*Assumptions!Y$200/Engagement_Register!$AO$28,0))</f>
        <v>0</v>
      </c>
      <c r="Z30" s="67" t="n">
        <f aca="false">IF(Z$5="A",0,IF(AND(Assumptions!Z$187&gt;=Engagement_Register!$AN$28,Assumptions!Z$187&lt;=Engagement_Register!$AH$28,Engagement_Register!$AO$28&gt;0),(Engagement_Register!$AM$28-Engagement_Register!$AJ$28)*Assumptions!Z$200/Engagement_Register!$AO$28,0))</f>
        <v>0</v>
      </c>
      <c r="AA30" s="67" t="n">
        <f aca="false">IF(AA$5="A",0,IF(AND(Assumptions!AA$187&gt;=Engagement_Register!$AN$28,Assumptions!AA$187&lt;=Engagement_Register!$AH$28,Engagement_Register!$AO$28&gt;0),(Engagement_Register!$AM$28-Engagement_Register!$AJ$28)*Assumptions!AA$200/Engagement_Register!$AO$28,0))</f>
        <v>0</v>
      </c>
      <c r="AB30" s="67" t="n">
        <f aca="false">IF(AB$5="A",0,IF(AND(Assumptions!AB$187&gt;=Engagement_Register!$AN$28,Assumptions!AB$187&lt;=Engagement_Register!$AH$28,Engagement_Register!$AO$28&gt;0),(Engagement_Register!$AM$28-Engagement_Register!$AJ$28)*Assumptions!AB$200/Engagement_Register!$AO$28,0))</f>
        <v>0</v>
      </c>
    </row>
    <row r="31" customFormat="false" ht="15" hidden="false" customHeight="false" outlineLevel="0" collapsed="false">
      <c r="A31" s="29" t="s">
        <v>820</v>
      </c>
      <c r="B31" s="60" t="s">
        <v>798</v>
      </c>
      <c r="C31" s="66" t="n">
        <f aca="false">SUM(E31:P31)</f>
        <v>765.495987158909</v>
      </c>
      <c r="D31" s="66" t="n">
        <f aca="false">SUM(Q31:AB31)</f>
        <v>516.504012841092</v>
      </c>
      <c r="E31" s="67" t="n">
        <f aca="false">IF(E$5="A",0,IF(AND(Assumptions!E$187&gt;=Engagement_Register!$AN$29,Assumptions!E$187&lt;=Engagement_Register!$AH$29,Engagement_Register!$AO$29&gt;0),(Engagement_Register!$AM$29-Engagement_Register!$AJ$29)*Assumptions!E$200/Engagement_Register!$AO$29,0))</f>
        <v>0</v>
      </c>
      <c r="F31" s="67" t="n">
        <f aca="false">IF(F$5="A",0,IF(AND(Assumptions!F$187&gt;=Engagement_Register!$AN$29,Assumptions!F$187&lt;=Engagement_Register!$AH$29,Engagement_Register!$AO$29&gt;0),(Engagement_Register!$AM$29-Engagement_Register!$AJ$29)*Assumptions!F$200/Engagement_Register!$AO$29,0))</f>
        <v>0</v>
      </c>
      <c r="G31" s="67" t="n">
        <f aca="false">IF(G$5="A",0,IF(AND(Assumptions!G$187&gt;=Engagement_Register!$AN$29,Assumptions!G$187&lt;=Engagement_Register!$AH$29,Engagement_Register!$AO$29&gt;0),(Engagement_Register!$AM$29-Engagement_Register!$AJ$29)*Assumptions!G$200/Engagement_Register!$AO$29,0))</f>
        <v>0</v>
      </c>
      <c r="H31" s="67" t="n">
        <f aca="false">IF(H$5="A",0,IF(AND(Assumptions!H$187&gt;=Engagement_Register!$AN$29,Assumptions!H$187&lt;=Engagement_Register!$AH$29,Engagement_Register!$AO$29&gt;0),(Engagement_Register!$AM$29-Engagement_Register!$AJ$29)*Assumptions!H$200/Engagement_Register!$AO$29,0))</f>
        <v>0</v>
      </c>
      <c r="I31" s="67" t="n">
        <f aca="false">IF(I$5="A",0,IF(AND(Assumptions!I$187&gt;=Engagement_Register!$AN$29,Assumptions!I$187&lt;=Engagement_Register!$AH$29,Engagement_Register!$AO$29&gt;0),(Engagement_Register!$AM$29-Engagement_Register!$AJ$29)*Assumptions!I$200/Engagement_Register!$AO$29,0))</f>
        <v>0</v>
      </c>
      <c r="J31" s="67" t="n">
        <f aca="false">IF(J$5="A",0,IF(AND(Assumptions!J$187&gt;=Engagement_Register!$AN$29,Assumptions!J$187&lt;=Engagement_Register!$AH$29,Engagement_Register!$AO$29&gt;0),(Engagement_Register!$AM$29-Engagement_Register!$AJ$29)*Assumptions!J$200/Engagement_Register!$AO$29,0))</f>
        <v>0</v>
      </c>
      <c r="K31" s="67" t="n">
        <f aca="false">IF(K$5="A",0,IF(AND(Assumptions!K$187&gt;=Engagement_Register!$AN$29,Assumptions!K$187&lt;=Engagement_Register!$AH$29,Engagement_Register!$AO$29&gt;0),(Engagement_Register!$AM$29-Engagement_Register!$AJ$29)*Assumptions!K$200/Engagement_Register!$AO$29,0))</f>
        <v>0</v>
      </c>
      <c r="L31" s="67" t="n">
        <f aca="false">IF(L$5="A",0,IF(AND(Assumptions!L$187&gt;=Engagement_Register!$AN$29,Assumptions!L$187&lt;=Engagement_Register!$AH$29,Engagement_Register!$AO$29&gt;0),(Engagement_Register!$AM$29-Engagement_Register!$AJ$29)*Assumptions!L$200/Engagement_Register!$AO$29,0))</f>
        <v>0</v>
      </c>
      <c r="M31" s="67" t="n">
        <f aca="false">IF(M$5="A",0,IF(AND(Assumptions!M$187&gt;=Engagement_Register!$AN$29,Assumptions!M$187&lt;=Engagement_Register!$AH$29,Engagement_Register!$AO$29&gt;0),(Engagement_Register!$AM$29-Engagement_Register!$AJ$29)*Assumptions!M$200/Engagement_Register!$AO$29,0))</f>
        <v>196.518459069021</v>
      </c>
      <c r="N31" s="67" t="n">
        <f aca="false">IF(N$5="A",0,IF(AND(Assumptions!N$187&gt;=Engagement_Register!$AN$29,Assumptions!N$187&lt;=Engagement_Register!$AH$29,Engagement_Register!$AO$29&gt;0),(Engagement_Register!$AM$29-Engagement_Register!$AJ$29)*Assumptions!N$200/Engagement_Register!$AO$29,0))</f>
        <v>189.31621187801</v>
      </c>
      <c r="O31" s="67" t="n">
        <f aca="false">IF(O$5="A",0,IF(AND(Assumptions!O$187&gt;=Engagement_Register!$AN$29,Assumptions!O$187&lt;=Engagement_Register!$AH$29,Engagement_Register!$AO$29&gt;0),(Engagement_Register!$AM$29-Engagement_Register!$AJ$29)*Assumptions!O$200/Engagement_Register!$AO$29,0))</f>
        <v>187.258426966292</v>
      </c>
      <c r="P31" s="67" t="n">
        <f aca="false">IF(P$5="A",0,IF(AND(Assumptions!P$187&gt;=Engagement_Register!$AN$29,Assumptions!P$187&lt;=Engagement_Register!$AH$29,Engagement_Register!$AO$29&gt;0),(Engagement_Register!$AM$29-Engagement_Register!$AJ$29)*Assumptions!P$200/Engagement_Register!$AO$29,0))</f>
        <v>192.402889245586</v>
      </c>
      <c r="Q31" s="67" t="n">
        <f aca="false">IF(Q$5="A",0,IF(AND(Assumptions!Q$187&gt;=Engagement_Register!$AN$29,Assumptions!Q$187&lt;=Engagement_Register!$AH$29,Engagement_Register!$AO$29&gt;0),(Engagement_Register!$AM$29-Engagement_Register!$AJ$29)*Assumptions!Q$200/Engagement_Register!$AO$29,0))</f>
        <v>164.6227929374</v>
      </c>
      <c r="R31" s="67" t="n">
        <f aca="false">IF(R$5="A",0,IF(AND(Assumptions!R$187&gt;=Engagement_Register!$AN$29,Assumptions!R$187&lt;=Engagement_Register!$AH$29,Engagement_Register!$AO$29&gt;0),(Engagement_Register!$AM$29-Engagement_Register!$AJ$29)*Assumptions!R$200/Engagement_Register!$AO$29,0))</f>
        <v>169.767255216693</v>
      </c>
      <c r="S31" s="67" t="n">
        <f aca="false">IF(S$5="A",0,IF(AND(Assumptions!S$187&gt;=Engagement_Register!$AN$29,Assumptions!S$187&lt;=Engagement_Register!$AH$29,Engagement_Register!$AO$29&gt;0),(Engagement_Register!$AM$29-Engagement_Register!$AJ$29)*Assumptions!S$200/Engagement_Register!$AO$29,0))</f>
        <v>182.113964686998</v>
      </c>
      <c r="T31" s="67" t="n">
        <f aca="false">IF(T$5="A",0,IF(AND(Assumptions!T$187&gt;=Engagement_Register!$AN$29,Assumptions!T$187&lt;=Engagement_Register!$AH$29,Engagement_Register!$AO$29&gt;0),(Engagement_Register!$AM$29-Engagement_Register!$AJ$29)*Assumptions!T$200/Engagement_Register!$AO$29,0))</f>
        <v>0</v>
      </c>
      <c r="U31" s="67" t="n">
        <f aca="false">IF(U$5="A",0,IF(AND(Assumptions!U$187&gt;=Engagement_Register!$AN$29,Assumptions!U$187&lt;=Engagement_Register!$AH$29,Engagement_Register!$AO$29&gt;0),(Engagement_Register!$AM$29-Engagement_Register!$AJ$29)*Assumptions!U$200/Engagement_Register!$AO$29,0))</f>
        <v>0</v>
      </c>
      <c r="V31" s="67" t="n">
        <f aca="false">IF(V$5="A",0,IF(AND(Assumptions!V$187&gt;=Engagement_Register!$AN$29,Assumptions!V$187&lt;=Engagement_Register!$AH$29,Engagement_Register!$AO$29&gt;0),(Engagement_Register!$AM$29-Engagement_Register!$AJ$29)*Assumptions!V$200/Engagement_Register!$AO$29,0))</f>
        <v>0</v>
      </c>
      <c r="W31" s="67" t="n">
        <f aca="false">IF(W$5="A",0,IF(AND(Assumptions!W$187&gt;=Engagement_Register!$AN$29,Assumptions!W$187&lt;=Engagement_Register!$AH$29,Engagement_Register!$AO$29&gt;0),(Engagement_Register!$AM$29-Engagement_Register!$AJ$29)*Assumptions!W$200/Engagement_Register!$AO$29,0))</f>
        <v>0</v>
      </c>
      <c r="X31" s="67" t="n">
        <f aca="false">IF(X$5="A",0,IF(AND(Assumptions!X$187&gt;=Engagement_Register!$AN$29,Assumptions!X$187&lt;=Engagement_Register!$AH$29,Engagement_Register!$AO$29&gt;0),(Engagement_Register!$AM$29-Engagement_Register!$AJ$29)*Assumptions!X$200/Engagement_Register!$AO$29,0))</f>
        <v>0</v>
      </c>
      <c r="Y31" s="67" t="n">
        <f aca="false">IF(Y$5="A",0,IF(AND(Assumptions!Y$187&gt;=Engagement_Register!$AN$29,Assumptions!Y$187&lt;=Engagement_Register!$AH$29,Engagement_Register!$AO$29&gt;0),(Engagement_Register!$AM$29-Engagement_Register!$AJ$29)*Assumptions!Y$200/Engagement_Register!$AO$29,0))</f>
        <v>0</v>
      </c>
      <c r="Z31" s="67" t="n">
        <f aca="false">IF(Z$5="A",0,IF(AND(Assumptions!Z$187&gt;=Engagement_Register!$AN$29,Assumptions!Z$187&lt;=Engagement_Register!$AH$29,Engagement_Register!$AO$29&gt;0),(Engagement_Register!$AM$29-Engagement_Register!$AJ$29)*Assumptions!Z$200/Engagement_Register!$AO$29,0))</f>
        <v>0</v>
      </c>
      <c r="AA31" s="67" t="n">
        <f aca="false">IF(AA$5="A",0,IF(AND(Assumptions!AA$187&gt;=Engagement_Register!$AN$29,Assumptions!AA$187&lt;=Engagement_Register!$AH$29,Engagement_Register!$AO$29&gt;0),(Engagement_Register!$AM$29-Engagement_Register!$AJ$29)*Assumptions!AA$200/Engagement_Register!$AO$29,0))</f>
        <v>0</v>
      </c>
      <c r="AB31" s="67" t="n">
        <f aca="false">IF(AB$5="A",0,IF(AND(Assumptions!AB$187&gt;=Engagement_Register!$AN$29,Assumptions!AB$187&lt;=Engagement_Register!$AH$29,Engagement_Register!$AO$29&gt;0),(Engagement_Register!$AM$29-Engagement_Register!$AJ$29)*Assumptions!AB$200/Engagement_Register!$AO$29,0))</f>
        <v>0</v>
      </c>
    </row>
    <row r="32" customFormat="false" ht="15" hidden="false" customHeight="false" outlineLevel="0" collapsed="false">
      <c r="A32" s="29" t="s">
        <v>821</v>
      </c>
      <c r="B32" s="60" t="s">
        <v>798</v>
      </c>
      <c r="C32" s="66" t="n">
        <f aca="false">SUM(E32:P32)</f>
        <v>0</v>
      </c>
      <c r="D32" s="66" t="n">
        <f aca="false">SUM(Q32:AB32)</f>
        <v>4550</v>
      </c>
      <c r="E32" s="67" t="n">
        <f aca="false">IF(E$5="A",0,IF(AND(Assumptions!E$187&gt;=Engagement_Register!$AN$30,Assumptions!E$187&lt;=Engagement_Register!$AH$30,Engagement_Register!$AO$30&gt;0),(Engagement_Register!$AM$30-Engagement_Register!$AJ$30)*Assumptions!E$200/Engagement_Register!$AO$30,0))</f>
        <v>0</v>
      </c>
      <c r="F32" s="67" t="n">
        <f aca="false">IF(F$5="A",0,IF(AND(Assumptions!F$187&gt;=Engagement_Register!$AN$30,Assumptions!F$187&lt;=Engagement_Register!$AH$30,Engagement_Register!$AO$30&gt;0),(Engagement_Register!$AM$30-Engagement_Register!$AJ$30)*Assumptions!F$200/Engagement_Register!$AO$30,0))</f>
        <v>0</v>
      </c>
      <c r="G32" s="67" t="n">
        <f aca="false">IF(G$5="A",0,IF(AND(Assumptions!G$187&gt;=Engagement_Register!$AN$30,Assumptions!G$187&lt;=Engagement_Register!$AH$30,Engagement_Register!$AO$30&gt;0),(Engagement_Register!$AM$30-Engagement_Register!$AJ$30)*Assumptions!G$200/Engagement_Register!$AO$30,0))</f>
        <v>0</v>
      </c>
      <c r="H32" s="67" t="n">
        <f aca="false">IF(H$5="A",0,IF(AND(Assumptions!H$187&gt;=Engagement_Register!$AN$30,Assumptions!H$187&lt;=Engagement_Register!$AH$30,Engagement_Register!$AO$30&gt;0),(Engagement_Register!$AM$30-Engagement_Register!$AJ$30)*Assumptions!H$200/Engagement_Register!$AO$30,0))</f>
        <v>0</v>
      </c>
      <c r="I32" s="67" t="n">
        <f aca="false">IF(I$5="A",0,IF(AND(Assumptions!I$187&gt;=Engagement_Register!$AN$30,Assumptions!I$187&lt;=Engagement_Register!$AH$30,Engagement_Register!$AO$30&gt;0),(Engagement_Register!$AM$30-Engagement_Register!$AJ$30)*Assumptions!I$200/Engagement_Register!$AO$30,0))</f>
        <v>0</v>
      </c>
      <c r="J32" s="67" t="n">
        <f aca="false">IF(J$5="A",0,IF(AND(Assumptions!J$187&gt;=Engagement_Register!$AN$30,Assumptions!J$187&lt;=Engagement_Register!$AH$30,Engagement_Register!$AO$30&gt;0),(Engagement_Register!$AM$30-Engagement_Register!$AJ$30)*Assumptions!J$200/Engagement_Register!$AO$30,0))</f>
        <v>0</v>
      </c>
      <c r="K32" s="67" t="n">
        <f aca="false">IF(K$5="A",0,IF(AND(Assumptions!K$187&gt;=Engagement_Register!$AN$30,Assumptions!K$187&lt;=Engagement_Register!$AH$30,Engagement_Register!$AO$30&gt;0),(Engagement_Register!$AM$30-Engagement_Register!$AJ$30)*Assumptions!K$200/Engagement_Register!$AO$30,0))</f>
        <v>0</v>
      </c>
      <c r="L32" s="67" t="n">
        <f aca="false">IF(L$5="A",0,IF(AND(Assumptions!L$187&gt;=Engagement_Register!$AN$30,Assumptions!L$187&lt;=Engagement_Register!$AH$30,Engagement_Register!$AO$30&gt;0),(Engagement_Register!$AM$30-Engagement_Register!$AJ$30)*Assumptions!L$200/Engagement_Register!$AO$30,0))</f>
        <v>0</v>
      </c>
      <c r="M32" s="67" t="n">
        <f aca="false">IF(M$5="A",0,IF(AND(Assumptions!M$187&gt;=Engagement_Register!$AN$30,Assumptions!M$187&lt;=Engagement_Register!$AH$30,Engagement_Register!$AO$30&gt;0),(Engagement_Register!$AM$30-Engagement_Register!$AJ$30)*Assumptions!M$200/Engagement_Register!$AO$30,0))</f>
        <v>0</v>
      </c>
      <c r="N32" s="67" t="n">
        <f aca="false">IF(N$5="A",0,IF(AND(Assumptions!N$187&gt;=Engagement_Register!$AN$30,Assumptions!N$187&lt;=Engagement_Register!$AH$30,Engagement_Register!$AO$30&gt;0),(Engagement_Register!$AM$30-Engagement_Register!$AJ$30)*Assumptions!N$200/Engagement_Register!$AO$30,0))</f>
        <v>0</v>
      </c>
      <c r="O32" s="67" t="n">
        <f aca="false">IF(O$5="A",0,IF(AND(Assumptions!O$187&gt;=Engagement_Register!$AN$30,Assumptions!O$187&lt;=Engagement_Register!$AH$30,Engagement_Register!$AO$30&gt;0),(Engagement_Register!$AM$30-Engagement_Register!$AJ$30)*Assumptions!O$200/Engagement_Register!$AO$30,0))</f>
        <v>0</v>
      </c>
      <c r="P32" s="67" t="n">
        <f aca="false">IF(P$5="A",0,IF(AND(Assumptions!P$187&gt;=Engagement_Register!$AN$30,Assumptions!P$187&lt;=Engagement_Register!$AH$30,Engagement_Register!$AO$30&gt;0),(Engagement_Register!$AM$30-Engagement_Register!$AJ$30)*Assumptions!P$200/Engagement_Register!$AO$30,0))</f>
        <v>0</v>
      </c>
      <c r="Q32" s="67" t="n">
        <f aca="false">IF(Q$5="A",0,IF(AND(Assumptions!Q$187&gt;=Engagement_Register!$AN$30,Assumptions!Q$187&lt;=Engagement_Register!$AH$30,Engagement_Register!$AO$30&gt;0),(Engagement_Register!$AM$30-Engagement_Register!$AJ$30)*Assumptions!Q$200/Engagement_Register!$AO$30,0))</f>
        <v>0</v>
      </c>
      <c r="R32" s="67" t="n">
        <f aca="false">IF(R$5="A",0,IF(AND(Assumptions!R$187&gt;=Engagement_Register!$AN$30,Assumptions!R$187&lt;=Engagement_Register!$AH$30,Engagement_Register!$AO$30&gt;0),(Engagement_Register!$AM$30-Engagement_Register!$AJ$30)*Assumptions!R$200/Engagement_Register!$AO$30,0))</f>
        <v>0</v>
      </c>
      <c r="S32" s="67" t="n">
        <f aca="false">IF(S$5="A",0,IF(AND(Assumptions!S$187&gt;=Engagement_Register!$AN$30,Assumptions!S$187&lt;=Engagement_Register!$AH$30,Engagement_Register!$AO$30&gt;0),(Engagement_Register!$AM$30-Engagement_Register!$AJ$30)*Assumptions!S$200/Engagement_Register!$AO$30,0))</f>
        <v>0</v>
      </c>
      <c r="T32" s="67" t="n">
        <f aca="false">IF(T$5="A",0,IF(AND(Assumptions!T$187&gt;=Engagement_Register!$AN$30,Assumptions!T$187&lt;=Engagement_Register!$AH$30,Engagement_Register!$AO$30&gt;0),(Engagement_Register!$AM$30-Engagement_Register!$AJ$30)*Assumptions!T$200/Engagement_Register!$AO$30,0))</f>
        <v>523.476368159204</v>
      </c>
      <c r="U32" s="67" t="n">
        <f aca="false">IF(U$5="A",0,IF(AND(Assumptions!U$187&gt;=Engagement_Register!$AN$30,Assumptions!U$187&lt;=Engagement_Register!$AH$30,Engagement_Register!$AO$30&gt;0),(Engagement_Register!$AM$30-Engagement_Register!$AJ$30)*Assumptions!U$200/Engagement_Register!$AO$30,0))</f>
        <v>398.973880597015</v>
      </c>
      <c r="V32" s="67" t="n">
        <f aca="false">IF(V$5="A",0,IF(AND(Assumptions!V$187&gt;=Engagement_Register!$AN$30,Assumptions!V$187&lt;=Engagement_Register!$AH$30,Engagement_Register!$AO$30&gt;0),(Engagement_Register!$AM$30-Engagement_Register!$AJ$30)*Assumptions!V$200/Engagement_Register!$AO$30,0))</f>
        <v>540.453980099503</v>
      </c>
      <c r="W32" s="67" t="n">
        <f aca="false">IF(W$5="A",0,IF(AND(Assumptions!W$187&gt;=Engagement_Register!$AN$30,Assumptions!W$187&lt;=Engagement_Register!$AH$30,Engagement_Register!$AO$30&gt;0),(Engagement_Register!$AM$30-Engagement_Register!$AJ$30)*Assumptions!W$200/Engagement_Register!$AO$30,0))</f>
        <v>523.476368159204</v>
      </c>
      <c r="X32" s="67" t="n">
        <f aca="false">IF(X$5="A",0,IF(AND(Assumptions!X$187&gt;=Engagement_Register!$AN$30,Assumptions!X$187&lt;=Engagement_Register!$AH$30,Engagement_Register!$AO$30&gt;0),(Engagement_Register!$AM$30-Engagement_Register!$AJ$30)*Assumptions!X$200/Engagement_Register!$AO$30,0))</f>
        <v>458.39552238806</v>
      </c>
      <c r="Y32" s="67" t="n">
        <f aca="false">IF(Y$5="A",0,IF(AND(Assumptions!Y$187&gt;=Engagement_Register!$AN$30,Assumptions!Y$187&lt;=Engagement_Register!$AH$30,Engagement_Register!$AO$30&gt;0),(Engagement_Register!$AM$30-Engagement_Register!$AJ$30)*Assumptions!Y$200/Engagement_Register!$AO$30,0))</f>
        <v>540.453980099503</v>
      </c>
      <c r="Z32" s="67" t="n">
        <f aca="false">IF(Z$5="A",0,IF(AND(Assumptions!Z$187&gt;=Engagement_Register!$AN$30,Assumptions!Z$187&lt;=Engagement_Register!$AH$30,Engagement_Register!$AO$30&gt;0),(Engagement_Register!$AM$30-Engagement_Register!$AJ$30)*Assumptions!Z$200/Engagement_Register!$AO$30,0))</f>
        <v>492.350746268657</v>
      </c>
      <c r="AA32" s="67" t="n">
        <f aca="false">IF(AA$5="A",0,IF(AND(Assumptions!AA$187&gt;=Engagement_Register!$AN$30,Assumptions!AA$187&lt;=Engagement_Register!$AH$30,Engagement_Register!$AO$30&gt;0),(Engagement_Register!$AM$30-Engagement_Register!$AJ$30)*Assumptions!AA$200/Engagement_Register!$AO$30,0))</f>
        <v>514.987562189055</v>
      </c>
      <c r="AB32" s="67" t="n">
        <f aca="false">IF(AB$5="A",0,IF(AND(Assumptions!AB$187&gt;=Engagement_Register!$AN$30,Assumptions!AB$187&lt;=Engagement_Register!$AH$30,Engagement_Register!$AO$30&gt;0),(Engagement_Register!$AM$30-Engagement_Register!$AJ$30)*Assumptions!AB$200/Engagement_Register!$AO$30,0))</f>
        <v>557.431592039801</v>
      </c>
    </row>
    <row r="33" customFormat="false" ht="15" hidden="false" customHeight="false" outlineLevel="0" collapsed="false">
      <c r="A33" s="29" t="s">
        <v>822</v>
      </c>
      <c r="B33" s="60" t="s">
        <v>798</v>
      </c>
      <c r="C33" s="66" t="n">
        <f aca="false">SUM(E33:P33)</f>
        <v>0</v>
      </c>
      <c r="D33" s="66" t="n">
        <f aca="false">SUM(Q33:AB33)</f>
        <v>1890</v>
      </c>
      <c r="E33" s="67" t="n">
        <f aca="false">IF(E$5="A",0,IF(AND(Assumptions!E$187&gt;=Engagement_Register!$AN$31,Assumptions!E$187&lt;=Engagement_Register!$AH$31,Engagement_Register!$AO$31&gt;0),(Engagement_Register!$AM$31-Engagement_Register!$AJ$31)*Assumptions!E$200/Engagement_Register!$AO$31,0))</f>
        <v>0</v>
      </c>
      <c r="F33" s="67" t="n">
        <f aca="false">IF(F$5="A",0,IF(AND(Assumptions!F$187&gt;=Engagement_Register!$AN$31,Assumptions!F$187&lt;=Engagement_Register!$AH$31,Engagement_Register!$AO$31&gt;0),(Engagement_Register!$AM$31-Engagement_Register!$AJ$31)*Assumptions!F$200/Engagement_Register!$AO$31,0))</f>
        <v>0</v>
      </c>
      <c r="G33" s="67" t="n">
        <f aca="false">IF(G$5="A",0,IF(AND(Assumptions!G$187&gt;=Engagement_Register!$AN$31,Assumptions!G$187&lt;=Engagement_Register!$AH$31,Engagement_Register!$AO$31&gt;0),(Engagement_Register!$AM$31-Engagement_Register!$AJ$31)*Assumptions!G$200/Engagement_Register!$AO$31,0))</f>
        <v>0</v>
      </c>
      <c r="H33" s="67" t="n">
        <f aca="false">IF(H$5="A",0,IF(AND(Assumptions!H$187&gt;=Engagement_Register!$AN$31,Assumptions!H$187&lt;=Engagement_Register!$AH$31,Engagement_Register!$AO$31&gt;0),(Engagement_Register!$AM$31-Engagement_Register!$AJ$31)*Assumptions!H$200/Engagement_Register!$AO$31,0))</f>
        <v>0</v>
      </c>
      <c r="I33" s="67" t="n">
        <f aca="false">IF(I$5="A",0,IF(AND(Assumptions!I$187&gt;=Engagement_Register!$AN$31,Assumptions!I$187&lt;=Engagement_Register!$AH$31,Engagement_Register!$AO$31&gt;0),(Engagement_Register!$AM$31-Engagement_Register!$AJ$31)*Assumptions!I$200/Engagement_Register!$AO$31,0))</f>
        <v>0</v>
      </c>
      <c r="J33" s="67" t="n">
        <f aca="false">IF(J$5="A",0,IF(AND(Assumptions!J$187&gt;=Engagement_Register!$AN$31,Assumptions!J$187&lt;=Engagement_Register!$AH$31,Engagement_Register!$AO$31&gt;0),(Engagement_Register!$AM$31-Engagement_Register!$AJ$31)*Assumptions!J$200/Engagement_Register!$AO$31,0))</f>
        <v>0</v>
      </c>
      <c r="K33" s="67" t="n">
        <f aca="false">IF(K$5="A",0,IF(AND(Assumptions!K$187&gt;=Engagement_Register!$AN$31,Assumptions!K$187&lt;=Engagement_Register!$AH$31,Engagement_Register!$AO$31&gt;0),(Engagement_Register!$AM$31-Engagement_Register!$AJ$31)*Assumptions!K$200/Engagement_Register!$AO$31,0))</f>
        <v>0</v>
      </c>
      <c r="L33" s="67" t="n">
        <f aca="false">IF(L$5="A",0,IF(AND(Assumptions!L$187&gt;=Engagement_Register!$AN$31,Assumptions!L$187&lt;=Engagement_Register!$AH$31,Engagement_Register!$AO$31&gt;0),(Engagement_Register!$AM$31-Engagement_Register!$AJ$31)*Assumptions!L$200/Engagement_Register!$AO$31,0))</f>
        <v>0</v>
      </c>
      <c r="M33" s="67" t="n">
        <f aca="false">IF(M$5="A",0,IF(AND(Assumptions!M$187&gt;=Engagement_Register!$AN$31,Assumptions!M$187&lt;=Engagement_Register!$AH$31,Engagement_Register!$AO$31&gt;0),(Engagement_Register!$AM$31-Engagement_Register!$AJ$31)*Assumptions!M$200/Engagement_Register!$AO$31,0))</f>
        <v>0</v>
      </c>
      <c r="N33" s="67" t="n">
        <f aca="false">IF(N$5="A",0,IF(AND(Assumptions!N$187&gt;=Engagement_Register!$AN$31,Assumptions!N$187&lt;=Engagement_Register!$AH$31,Engagement_Register!$AO$31&gt;0),(Engagement_Register!$AM$31-Engagement_Register!$AJ$31)*Assumptions!N$200/Engagement_Register!$AO$31,0))</f>
        <v>0</v>
      </c>
      <c r="O33" s="67" t="n">
        <f aca="false">IF(O$5="A",0,IF(AND(Assumptions!O$187&gt;=Engagement_Register!$AN$31,Assumptions!O$187&lt;=Engagement_Register!$AH$31,Engagement_Register!$AO$31&gt;0),(Engagement_Register!$AM$31-Engagement_Register!$AJ$31)*Assumptions!O$200/Engagement_Register!$AO$31,0))</f>
        <v>0</v>
      </c>
      <c r="P33" s="67" t="n">
        <f aca="false">IF(P$5="A",0,IF(AND(Assumptions!P$187&gt;=Engagement_Register!$AN$31,Assumptions!P$187&lt;=Engagement_Register!$AH$31,Engagement_Register!$AO$31&gt;0),(Engagement_Register!$AM$31-Engagement_Register!$AJ$31)*Assumptions!P$200/Engagement_Register!$AO$31,0))</f>
        <v>0</v>
      </c>
      <c r="Q33" s="67" t="n">
        <f aca="false">IF(Q$5="A",0,IF(AND(Assumptions!Q$187&gt;=Engagement_Register!$AN$31,Assumptions!Q$187&lt;=Engagement_Register!$AH$31,Engagement_Register!$AO$31&gt;0),(Engagement_Register!$AM$31-Engagement_Register!$AJ$31)*Assumptions!Q$200/Engagement_Register!$AO$31,0))</f>
        <v>194.219653179191</v>
      </c>
      <c r="R33" s="67" t="n">
        <f aca="false">IF(R$5="A",0,IF(AND(Assumptions!R$187&gt;=Engagement_Register!$AN$31,Assumptions!R$187&lt;=Engagement_Register!$AH$31,Engagement_Register!$AO$31&gt;0),(Engagement_Register!$AM$31-Engagement_Register!$AJ$31)*Assumptions!R$200/Engagement_Register!$AO$31,0))</f>
        <v>200.28901734104</v>
      </c>
      <c r="S33" s="67" t="n">
        <f aca="false">IF(S$5="A",0,IF(AND(Assumptions!S$187&gt;=Engagement_Register!$AN$31,Assumptions!S$187&lt;=Engagement_Register!$AH$31,Engagement_Register!$AO$31&gt;0),(Engagement_Register!$AM$31-Engagement_Register!$AJ$31)*Assumptions!S$200/Engagement_Register!$AO$31,0))</f>
        <v>214.85549132948</v>
      </c>
      <c r="T33" s="67" t="n">
        <f aca="false">IF(T$5="A",0,IF(AND(Assumptions!T$187&gt;=Engagement_Register!$AN$31,Assumptions!T$187&lt;=Engagement_Register!$AH$31,Engagement_Register!$AO$31&gt;0),(Engagement_Register!$AM$31-Engagement_Register!$AJ$31)*Assumptions!T$200/Engagement_Register!$AO$31,0))</f>
        <v>224.566473988439</v>
      </c>
      <c r="U33" s="67" t="n">
        <f aca="false">IF(U$5="A",0,IF(AND(Assumptions!U$187&gt;=Engagement_Register!$AN$31,Assumptions!U$187&lt;=Engagement_Register!$AH$31,Engagement_Register!$AO$31&gt;0),(Engagement_Register!$AM$31-Engagement_Register!$AJ$31)*Assumptions!U$200/Engagement_Register!$AO$31,0))</f>
        <v>171.156069364162</v>
      </c>
      <c r="V33" s="67" t="n">
        <f aca="false">IF(V$5="A",0,IF(AND(Assumptions!V$187&gt;=Engagement_Register!$AN$31,Assumptions!V$187&lt;=Engagement_Register!$AH$31,Engagement_Register!$AO$31&gt;0),(Engagement_Register!$AM$31-Engagement_Register!$AJ$31)*Assumptions!V$200/Engagement_Register!$AO$31,0))</f>
        <v>231.849710982659</v>
      </c>
      <c r="W33" s="67" t="n">
        <f aca="false">IF(W$5="A",0,IF(AND(Assumptions!W$187&gt;=Engagement_Register!$AN$31,Assumptions!W$187&lt;=Engagement_Register!$AH$31,Engagement_Register!$AO$31&gt;0),(Engagement_Register!$AM$31-Engagement_Register!$AJ$31)*Assumptions!W$200/Engagement_Register!$AO$31,0))</f>
        <v>224.566473988439</v>
      </c>
      <c r="X33" s="67" t="n">
        <f aca="false">IF(X$5="A",0,IF(AND(Assumptions!X$187&gt;=Engagement_Register!$AN$31,Assumptions!X$187&lt;=Engagement_Register!$AH$31,Engagement_Register!$AO$31&gt;0),(Engagement_Register!$AM$31-Engagement_Register!$AJ$31)*Assumptions!X$200/Engagement_Register!$AO$31,0))</f>
        <v>196.647398843931</v>
      </c>
      <c r="Y33" s="67" t="n">
        <f aca="false">IF(Y$5="A",0,IF(AND(Assumptions!Y$187&gt;=Engagement_Register!$AN$31,Assumptions!Y$187&lt;=Engagement_Register!$AH$31,Engagement_Register!$AO$31&gt;0),(Engagement_Register!$AM$31-Engagement_Register!$AJ$31)*Assumptions!Y$200/Engagement_Register!$AO$31,0))</f>
        <v>231.849710982659</v>
      </c>
      <c r="Z33" s="67" t="n">
        <f aca="false">IF(Z$5="A",0,IF(AND(Assumptions!Z$187&gt;=Engagement_Register!$AN$31,Assumptions!Z$187&lt;=Engagement_Register!$AH$31,Engagement_Register!$AO$31&gt;0),(Engagement_Register!$AM$31-Engagement_Register!$AJ$31)*Assumptions!Z$200/Engagement_Register!$AO$31,0))</f>
        <v>0</v>
      </c>
      <c r="AA33" s="67" t="n">
        <f aca="false">IF(AA$5="A",0,IF(AND(Assumptions!AA$187&gt;=Engagement_Register!$AN$31,Assumptions!AA$187&lt;=Engagement_Register!$AH$31,Engagement_Register!$AO$31&gt;0),(Engagement_Register!$AM$31-Engagement_Register!$AJ$31)*Assumptions!AA$200/Engagement_Register!$AO$31,0))</f>
        <v>0</v>
      </c>
      <c r="AB33" s="67" t="n">
        <f aca="false">IF(AB$5="A",0,IF(AND(Assumptions!AB$187&gt;=Engagement_Register!$AN$31,Assumptions!AB$187&lt;=Engagement_Register!$AH$31,Engagement_Register!$AO$31&gt;0),(Engagement_Register!$AM$31-Engagement_Register!$AJ$31)*Assumptions!AB$200/Engagement_Register!$AO$31,0))</f>
        <v>0</v>
      </c>
    </row>
    <row r="34" customFormat="false" ht="15" hidden="false" customHeight="false" outlineLevel="0" collapsed="false">
      <c r="A34" s="29" t="s">
        <v>823</v>
      </c>
      <c r="B34" s="60" t="s">
        <v>798</v>
      </c>
      <c r="C34" s="66" t="n">
        <f aca="false">SUM(E34:P34)</f>
        <v>148.758635703919</v>
      </c>
      <c r="D34" s="66" t="n">
        <f aca="false">SUM(Q34:AB34)</f>
        <v>399.341364296081</v>
      </c>
      <c r="E34" s="67" t="n">
        <f aca="false">IF(E$5="A",0,IF(AND(Assumptions!E$187&gt;=Engagement_Register!$AN$32,Assumptions!E$187&lt;=Engagement_Register!$AH$32,Engagement_Register!$AO$32&gt;0),(Engagement_Register!$AM$32-Engagement_Register!$AJ$32)*Assumptions!E$200/Engagement_Register!$AO$32,0))</f>
        <v>0</v>
      </c>
      <c r="F34" s="67" t="n">
        <f aca="false">IF(F$5="A",0,IF(AND(Assumptions!F$187&gt;=Engagement_Register!$AN$32,Assumptions!F$187&lt;=Engagement_Register!$AH$32,Engagement_Register!$AO$32&gt;0),(Engagement_Register!$AM$32-Engagement_Register!$AJ$32)*Assumptions!F$200/Engagement_Register!$AO$32,0))</f>
        <v>0</v>
      </c>
      <c r="G34" s="67" t="n">
        <f aca="false">IF(G$5="A",0,IF(AND(Assumptions!G$187&gt;=Engagement_Register!$AN$32,Assumptions!G$187&lt;=Engagement_Register!$AH$32,Engagement_Register!$AO$32&gt;0),(Engagement_Register!$AM$32-Engagement_Register!$AJ$32)*Assumptions!G$200/Engagement_Register!$AO$32,0))</f>
        <v>0</v>
      </c>
      <c r="H34" s="67" t="n">
        <f aca="false">IF(H$5="A",0,IF(AND(Assumptions!H$187&gt;=Engagement_Register!$AN$32,Assumptions!H$187&lt;=Engagement_Register!$AH$32,Engagement_Register!$AO$32&gt;0),(Engagement_Register!$AM$32-Engagement_Register!$AJ$32)*Assumptions!H$200/Engagement_Register!$AO$32,0))</f>
        <v>0</v>
      </c>
      <c r="I34" s="67" t="n">
        <f aca="false">IF(I$5="A",0,IF(AND(Assumptions!I$187&gt;=Engagement_Register!$AN$32,Assumptions!I$187&lt;=Engagement_Register!$AH$32,Engagement_Register!$AO$32&gt;0),(Engagement_Register!$AM$32-Engagement_Register!$AJ$32)*Assumptions!I$200/Engagement_Register!$AO$32,0))</f>
        <v>0</v>
      </c>
      <c r="J34" s="67" t="n">
        <f aca="false">IF(J$5="A",0,IF(AND(Assumptions!J$187&gt;=Engagement_Register!$AN$32,Assumptions!J$187&lt;=Engagement_Register!$AH$32,Engagement_Register!$AO$32&gt;0),(Engagement_Register!$AM$32-Engagement_Register!$AJ$32)*Assumptions!J$200/Engagement_Register!$AO$32,0))</f>
        <v>0</v>
      </c>
      <c r="K34" s="67" t="n">
        <f aca="false">IF(K$5="A",0,IF(AND(Assumptions!K$187&gt;=Engagement_Register!$AN$32,Assumptions!K$187&lt;=Engagement_Register!$AH$32,Engagement_Register!$AO$32&gt;0),(Engagement_Register!$AM$32-Engagement_Register!$AJ$32)*Assumptions!K$200/Engagement_Register!$AO$32,0))</f>
        <v>0</v>
      </c>
      <c r="L34" s="67" t="n">
        <f aca="false">IF(L$5="A",0,IF(AND(Assumptions!L$187&gt;=Engagement_Register!$AN$32,Assumptions!L$187&lt;=Engagement_Register!$AH$32,Engagement_Register!$AO$32&gt;0),(Engagement_Register!$AM$32-Engagement_Register!$AJ$32)*Assumptions!L$200/Engagement_Register!$AO$32,0))</f>
        <v>0</v>
      </c>
      <c r="M34" s="67" t="n">
        <f aca="false">IF(M$5="A",0,IF(AND(Assumptions!M$187&gt;=Engagement_Register!$AN$32,Assumptions!M$187&lt;=Engagement_Register!$AH$32,Engagement_Register!$AO$32&gt;0),(Engagement_Register!$AM$32-Engagement_Register!$AJ$32)*Assumptions!M$200/Engagement_Register!$AO$32,0))</f>
        <v>0</v>
      </c>
      <c r="N34" s="67" t="n">
        <f aca="false">IF(N$5="A",0,IF(AND(Assumptions!N$187&gt;=Engagement_Register!$AN$32,Assumptions!N$187&lt;=Engagement_Register!$AH$32,Engagement_Register!$AO$32&gt;0),(Engagement_Register!$AM$32-Engagement_Register!$AJ$32)*Assumptions!N$200/Engagement_Register!$AO$32,0))</f>
        <v>0</v>
      </c>
      <c r="O34" s="67" t="n">
        <f aca="false">IF(O$5="A",0,IF(AND(Assumptions!O$187&gt;=Engagement_Register!$AN$32,Assumptions!O$187&lt;=Engagement_Register!$AH$32,Engagement_Register!$AO$32&gt;0),(Engagement_Register!$AM$32-Engagement_Register!$AJ$32)*Assumptions!O$200/Engagement_Register!$AO$32,0))</f>
        <v>0</v>
      </c>
      <c r="P34" s="67" t="n">
        <f aca="false">IF(P$5="A",0,IF(AND(Assumptions!P$187&gt;=Engagement_Register!$AN$32,Assumptions!P$187&lt;=Engagement_Register!$AH$32,Engagement_Register!$AO$32&gt;0),(Engagement_Register!$AM$32-Engagement_Register!$AJ$32)*Assumptions!P$200/Engagement_Register!$AO$32,0))</f>
        <v>148.758635703919</v>
      </c>
      <c r="Q34" s="67" t="n">
        <f aca="false">IF(Q$5="A",0,IF(AND(Assumptions!Q$187&gt;=Engagement_Register!$AN$32,Assumptions!Q$187&lt;=Engagement_Register!$AH$32,Engagement_Register!$AO$32&gt;0),(Engagement_Register!$AM$32-Engagement_Register!$AJ$32)*Assumptions!Q$200/Engagement_Register!$AO$32,0))</f>
        <v>127.280116110305</v>
      </c>
      <c r="R34" s="67" t="n">
        <f aca="false">IF(R$5="A",0,IF(AND(Assumptions!R$187&gt;=Engagement_Register!$AN$32,Assumptions!R$187&lt;=Engagement_Register!$AH$32,Engagement_Register!$AO$32&gt;0),(Engagement_Register!$AM$32-Engagement_Register!$AJ$32)*Assumptions!R$200/Engagement_Register!$AO$32,0))</f>
        <v>131.257619738752</v>
      </c>
      <c r="S34" s="67" t="n">
        <f aca="false">IF(S$5="A",0,IF(AND(Assumptions!S$187&gt;=Engagement_Register!$AN$32,Assumptions!S$187&lt;=Engagement_Register!$AH$32,Engagement_Register!$AO$32&gt;0),(Engagement_Register!$AM$32-Engagement_Register!$AJ$32)*Assumptions!S$200/Engagement_Register!$AO$32,0))</f>
        <v>140.803628447025</v>
      </c>
      <c r="T34" s="67" t="n">
        <f aca="false">IF(T$5="A",0,IF(AND(Assumptions!T$187&gt;=Engagement_Register!$AN$32,Assumptions!T$187&lt;=Engagement_Register!$AH$32,Engagement_Register!$AO$32&gt;0),(Engagement_Register!$AM$32-Engagement_Register!$AJ$32)*Assumptions!T$200/Engagement_Register!$AO$32,0))</f>
        <v>0</v>
      </c>
      <c r="U34" s="67" t="n">
        <f aca="false">IF(U$5="A",0,IF(AND(Assumptions!U$187&gt;=Engagement_Register!$AN$32,Assumptions!U$187&lt;=Engagement_Register!$AH$32,Engagement_Register!$AO$32&gt;0),(Engagement_Register!$AM$32-Engagement_Register!$AJ$32)*Assumptions!U$200/Engagement_Register!$AO$32,0))</f>
        <v>0</v>
      </c>
      <c r="V34" s="67" t="n">
        <f aca="false">IF(V$5="A",0,IF(AND(Assumptions!V$187&gt;=Engagement_Register!$AN$32,Assumptions!V$187&lt;=Engagement_Register!$AH$32,Engagement_Register!$AO$32&gt;0),(Engagement_Register!$AM$32-Engagement_Register!$AJ$32)*Assumptions!V$200/Engagement_Register!$AO$32,0))</f>
        <v>0</v>
      </c>
      <c r="W34" s="67" t="n">
        <f aca="false">IF(W$5="A",0,IF(AND(Assumptions!W$187&gt;=Engagement_Register!$AN$32,Assumptions!W$187&lt;=Engagement_Register!$AH$32,Engagement_Register!$AO$32&gt;0),(Engagement_Register!$AM$32-Engagement_Register!$AJ$32)*Assumptions!W$200/Engagement_Register!$AO$32,0))</f>
        <v>0</v>
      </c>
      <c r="X34" s="67" t="n">
        <f aca="false">IF(X$5="A",0,IF(AND(Assumptions!X$187&gt;=Engagement_Register!$AN$32,Assumptions!X$187&lt;=Engagement_Register!$AH$32,Engagement_Register!$AO$32&gt;0),(Engagement_Register!$AM$32-Engagement_Register!$AJ$32)*Assumptions!X$200/Engagement_Register!$AO$32,0))</f>
        <v>0</v>
      </c>
      <c r="Y34" s="67" t="n">
        <f aca="false">IF(Y$5="A",0,IF(AND(Assumptions!Y$187&gt;=Engagement_Register!$AN$32,Assumptions!Y$187&lt;=Engagement_Register!$AH$32,Engagement_Register!$AO$32&gt;0),(Engagement_Register!$AM$32-Engagement_Register!$AJ$32)*Assumptions!Y$200/Engagement_Register!$AO$32,0))</f>
        <v>0</v>
      </c>
      <c r="Z34" s="67" t="n">
        <f aca="false">IF(Z$5="A",0,IF(AND(Assumptions!Z$187&gt;=Engagement_Register!$AN$32,Assumptions!Z$187&lt;=Engagement_Register!$AH$32,Engagement_Register!$AO$32&gt;0),(Engagement_Register!$AM$32-Engagement_Register!$AJ$32)*Assumptions!Z$200/Engagement_Register!$AO$32,0))</f>
        <v>0</v>
      </c>
      <c r="AA34" s="67" t="n">
        <f aca="false">IF(AA$5="A",0,IF(AND(Assumptions!AA$187&gt;=Engagement_Register!$AN$32,Assumptions!AA$187&lt;=Engagement_Register!$AH$32,Engagement_Register!$AO$32&gt;0),(Engagement_Register!$AM$32-Engagement_Register!$AJ$32)*Assumptions!AA$200/Engagement_Register!$AO$32,0))</f>
        <v>0</v>
      </c>
      <c r="AB34" s="67" t="n">
        <f aca="false">IF(AB$5="A",0,IF(AND(Assumptions!AB$187&gt;=Engagement_Register!$AN$32,Assumptions!AB$187&lt;=Engagement_Register!$AH$32,Engagement_Register!$AO$32&gt;0),(Engagement_Register!$AM$32-Engagement_Register!$AJ$32)*Assumptions!AB$200/Engagement_Register!$AO$32,0))</f>
        <v>0</v>
      </c>
    </row>
    <row r="35" customFormat="false" ht="15" hidden="false" customHeight="false" outlineLevel="0" collapsed="false">
      <c r="A35" s="29" t="s">
        <v>824</v>
      </c>
      <c r="B35" s="60" t="s">
        <v>798</v>
      </c>
      <c r="C35" s="66" t="n">
        <f aca="false">SUM(E35:P35)</f>
        <v>0</v>
      </c>
      <c r="D35" s="66" t="n">
        <f aca="false">SUM(Q35:AB35)</f>
        <v>1320</v>
      </c>
      <c r="E35" s="67" t="n">
        <f aca="false">IF(E$5="A",0,IF(AND(Assumptions!E$187&gt;=Engagement_Register!$AN$33,Assumptions!E$187&lt;=Engagement_Register!$AH$33,Engagement_Register!$AO$33&gt;0),(Engagement_Register!$AM$33-Engagement_Register!$AJ$33)*Assumptions!E$200/Engagement_Register!$AO$33,0))</f>
        <v>0</v>
      </c>
      <c r="F35" s="67" t="n">
        <f aca="false">IF(F$5="A",0,IF(AND(Assumptions!F$187&gt;=Engagement_Register!$AN$33,Assumptions!F$187&lt;=Engagement_Register!$AH$33,Engagement_Register!$AO$33&gt;0),(Engagement_Register!$AM$33-Engagement_Register!$AJ$33)*Assumptions!F$200/Engagement_Register!$AO$33,0))</f>
        <v>0</v>
      </c>
      <c r="G35" s="67" t="n">
        <f aca="false">IF(G$5="A",0,IF(AND(Assumptions!G$187&gt;=Engagement_Register!$AN$33,Assumptions!G$187&lt;=Engagement_Register!$AH$33,Engagement_Register!$AO$33&gt;0),(Engagement_Register!$AM$33-Engagement_Register!$AJ$33)*Assumptions!G$200/Engagement_Register!$AO$33,0))</f>
        <v>0</v>
      </c>
      <c r="H35" s="67" t="n">
        <f aca="false">IF(H$5="A",0,IF(AND(Assumptions!H$187&gt;=Engagement_Register!$AN$33,Assumptions!H$187&lt;=Engagement_Register!$AH$33,Engagement_Register!$AO$33&gt;0),(Engagement_Register!$AM$33-Engagement_Register!$AJ$33)*Assumptions!H$200/Engagement_Register!$AO$33,0))</f>
        <v>0</v>
      </c>
      <c r="I35" s="67" t="n">
        <f aca="false">IF(I$5="A",0,IF(AND(Assumptions!I$187&gt;=Engagement_Register!$AN$33,Assumptions!I$187&lt;=Engagement_Register!$AH$33,Engagement_Register!$AO$33&gt;0),(Engagement_Register!$AM$33-Engagement_Register!$AJ$33)*Assumptions!I$200/Engagement_Register!$AO$33,0))</f>
        <v>0</v>
      </c>
      <c r="J35" s="67" t="n">
        <f aca="false">IF(J$5="A",0,IF(AND(Assumptions!J$187&gt;=Engagement_Register!$AN$33,Assumptions!J$187&lt;=Engagement_Register!$AH$33,Engagement_Register!$AO$33&gt;0),(Engagement_Register!$AM$33-Engagement_Register!$AJ$33)*Assumptions!J$200/Engagement_Register!$AO$33,0))</f>
        <v>0</v>
      </c>
      <c r="K35" s="67" t="n">
        <f aca="false">IF(K$5="A",0,IF(AND(Assumptions!K$187&gt;=Engagement_Register!$AN$33,Assumptions!K$187&lt;=Engagement_Register!$AH$33,Engagement_Register!$AO$33&gt;0),(Engagement_Register!$AM$33-Engagement_Register!$AJ$33)*Assumptions!K$200/Engagement_Register!$AO$33,0))</f>
        <v>0</v>
      </c>
      <c r="L35" s="67" t="n">
        <f aca="false">IF(L$5="A",0,IF(AND(Assumptions!L$187&gt;=Engagement_Register!$AN$33,Assumptions!L$187&lt;=Engagement_Register!$AH$33,Engagement_Register!$AO$33&gt;0),(Engagement_Register!$AM$33-Engagement_Register!$AJ$33)*Assumptions!L$200/Engagement_Register!$AO$33,0))</f>
        <v>0</v>
      </c>
      <c r="M35" s="67" t="n">
        <f aca="false">IF(M$5="A",0,IF(AND(Assumptions!M$187&gt;=Engagement_Register!$AN$33,Assumptions!M$187&lt;=Engagement_Register!$AH$33,Engagement_Register!$AO$33&gt;0),(Engagement_Register!$AM$33-Engagement_Register!$AJ$33)*Assumptions!M$200/Engagement_Register!$AO$33,0))</f>
        <v>0</v>
      </c>
      <c r="N35" s="67" t="n">
        <f aca="false">IF(N$5="A",0,IF(AND(Assumptions!N$187&gt;=Engagement_Register!$AN$33,Assumptions!N$187&lt;=Engagement_Register!$AH$33,Engagement_Register!$AO$33&gt;0),(Engagement_Register!$AM$33-Engagement_Register!$AJ$33)*Assumptions!N$200/Engagement_Register!$AO$33,0))</f>
        <v>0</v>
      </c>
      <c r="O35" s="67" t="n">
        <f aca="false">IF(O$5="A",0,IF(AND(Assumptions!O$187&gt;=Engagement_Register!$AN$33,Assumptions!O$187&lt;=Engagement_Register!$AH$33,Engagement_Register!$AO$33&gt;0),(Engagement_Register!$AM$33-Engagement_Register!$AJ$33)*Assumptions!O$200/Engagement_Register!$AO$33,0))</f>
        <v>0</v>
      </c>
      <c r="P35" s="67" t="n">
        <f aca="false">IF(P$5="A",0,IF(AND(Assumptions!P$187&gt;=Engagement_Register!$AN$33,Assumptions!P$187&lt;=Engagement_Register!$AH$33,Engagement_Register!$AO$33&gt;0),(Engagement_Register!$AM$33-Engagement_Register!$AJ$33)*Assumptions!P$200/Engagement_Register!$AO$33,0))</f>
        <v>0</v>
      </c>
      <c r="Q35" s="67" t="n">
        <f aca="false">IF(Q$5="A",0,IF(AND(Assumptions!Q$187&gt;=Engagement_Register!$AN$33,Assumptions!Q$187&lt;=Engagement_Register!$AH$33,Engagement_Register!$AO$33&gt;0),(Engagement_Register!$AM$33-Engagement_Register!$AJ$33)*Assumptions!Q$200/Engagement_Register!$AO$33,0))</f>
        <v>175.415282392027</v>
      </c>
      <c r="R35" s="67" t="n">
        <f aca="false">IF(R$5="A",0,IF(AND(Assumptions!R$187&gt;=Engagement_Register!$AN$33,Assumptions!R$187&lt;=Engagement_Register!$AH$33,Engagement_Register!$AO$33&gt;0),(Engagement_Register!$AM$33-Engagement_Register!$AJ$33)*Assumptions!R$200/Engagement_Register!$AO$33,0))</f>
        <v>180.897009966777</v>
      </c>
      <c r="S35" s="67" t="n">
        <f aca="false">IF(S$5="A",0,IF(AND(Assumptions!S$187&gt;=Engagement_Register!$AN$33,Assumptions!S$187&lt;=Engagement_Register!$AH$33,Engagement_Register!$AO$33&gt;0),(Engagement_Register!$AM$33-Engagement_Register!$AJ$33)*Assumptions!S$200/Engagement_Register!$AO$33,0))</f>
        <v>194.053156146179</v>
      </c>
      <c r="T35" s="67" t="n">
        <f aca="false">IF(T$5="A",0,IF(AND(Assumptions!T$187&gt;=Engagement_Register!$AN$33,Assumptions!T$187&lt;=Engagement_Register!$AH$33,Engagement_Register!$AO$33&gt;0),(Engagement_Register!$AM$33-Engagement_Register!$AJ$33)*Assumptions!T$200/Engagement_Register!$AO$33,0))</f>
        <v>202.823920265781</v>
      </c>
      <c r="U35" s="67" t="n">
        <f aca="false">IF(U$5="A",0,IF(AND(Assumptions!U$187&gt;=Engagement_Register!$AN$33,Assumptions!U$187&lt;=Engagement_Register!$AH$33,Engagement_Register!$AO$33&gt;0),(Engagement_Register!$AM$33-Engagement_Register!$AJ$33)*Assumptions!U$200/Engagement_Register!$AO$33,0))</f>
        <v>154.584717607973</v>
      </c>
      <c r="V35" s="67" t="n">
        <f aca="false">IF(V$5="A",0,IF(AND(Assumptions!V$187&gt;=Engagement_Register!$AN$33,Assumptions!V$187&lt;=Engagement_Register!$AH$33,Engagement_Register!$AO$33&gt;0),(Engagement_Register!$AM$33-Engagement_Register!$AJ$33)*Assumptions!V$200/Engagement_Register!$AO$33,0))</f>
        <v>209.401993355482</v>
      </c>
      <c r="W35" s="67" t="n">
        <f aca="false">IF(W$5="A",0,IF(AND(Assumptions!W$187&gt;=Engagement_Register!$AN$33,Assumptions!W$187&lt;=Engagement_Register!$AH$33,Engagement_Register!$AO$33&gt;0),(Engagement_Register!$AM$33-Engagement_Register!$AJ$33)*Assumptions!W$200/Engagement_Register!$AO$33,0))</f>
        <v>202.823920265781</v>
      </c>
      <c r="X35" s="67" t="n">
        <f aca="false">IF(X$5="A",0,IF(AND(Assumptions!X$187&gt;=Engagement_Register!$AN$33,Assumptions!X$187&lt;=Engagement_Register!$AH$33,Engagement_Register!$AO$33&gt;0),(Engagement_Register!$AM$33-Engagement_Register!$AJ$33)*Assumptions!X$200/Engagement_Register!$AO$33,0))</f>
        <v>0</v>
      </c>
      <c r="Y35" s="67" t="n">
        <f aca="false">IF(Y$5="A",0,IF(AND(Assumptions!Y$187&gt;=Engagement_Register!$AN$33,Assumptions!Y$187&lt;=Engagement_Register!$AH$33,Engagement_Register!$AO$33&gt;0),(Engagement_Register!$AM$33-Engagement_Register!$AJ$33)*Assumptions!Y$200/Engagement_Register!$AO$33,0))</f>
        <v>0</v>
      </c>
      <c r="Z35" s="67" t="n">
        <f aca="false">IF(Z$5="A",0,IF(AND(Assumptions!Z$187&gt;=Engagement_Register!$AN$33,Assumptions!Z$187&lt;=Engagement_Register!$AH$33,Engagement_Register!$AO$33&gt;0),(Engagement_Register!$AM$33-Engagement_Register!$AJ$33)*Assumptions!Z$200/Engagement_Register!$AO$33,0))</f>
        <v>0</v>
      </c>
      <c r="AA35" s="67" t="n">
        <f aca="false">IF(AA$5="A",0,IF(AND(Assumptions!AA$187&gt;=Engagement_Register!$AN$33,Assumptions!AA$187&lt;=Engagement_Register!$AH$33,Engagement_Register!$AO$33&gt;0),(Engagement_Register!$AM$33-Engagement_Register!$AJ$33)*Assumptions!AA$200/Engagement_Register!$AO$33,0))</f>
        <v>0</v>
      </c>
      <c r="AB35" s="67" t="n">
        <f aca="false">IF(AB$5="A",0,IF(AND(Assumptions!AB$187&gt;=Engagement_Register!$AN$33,Assumptions!AB$187&lt;=Engagement_Register!$AH$33,Engagement_Register!$AO$33&gt;0),(Engagement_Register!$AM$33-Engagement_Register!$AJ$33)*Assumptions!AB$200/Engagement_Register!$AO$33,0))</f>
        <v>0</v>
      </c>
    </row>
    <row r="36" customFormat="false" ht="15" hidden="false" customHeight="false" outlineLevel="0" collapsed="false">
      <c r="A36" s="29" t="s">
        <v>825</v>
      </c>
      <c r="B36" s="60" t="s">
        <v>798</v>
      </c>
      <c r="C36" s="66" t="n">
        <f aca="false">SUM(E36:P36)</f>
        <v>0</v>
      </c>
      <c r="D36" s="66" t="n">
        <f aca="false">SUM(Q36:AB36)</f>
        <v>310.8</v>
      </c>
      <c r="E36" s="67" t="n">
        <f aca="false">IF(E$5="A",0,IF(AND(Assumptions!E$187&gt;=Engagement_Register!$AN$34,Assumptions!E$187&lt;=Engagement_Register!$AH$34,Engagement_Register!$AO$34&gt;0),(Engagement_Register!$AM$34-Engagement_Register!$AJ$34)*Assumptions!E$200/Engagement_Register!$AO$34,0))</f>
        <v>0</v>
      </c>
      <c r="F36" s="67" t="n">
        <f aca="false">IF(F$5="A",0,IF(AND(Assumptions!F$187&gt;=Engagement_Register!$AN$34,Assumptions!F$187&lt;=Engagement_Register!$AH$34,Engagement_Register!$AO$34&gt;0),(Engagement_Register!$AM$34-Engagement_Register!$AJ$34)*Assumptions!F$200/Engagement_Register!$AO$34,0))</f>
        <v>0</v>
      </c>
      <c r="G36" s="67" t="n">
        <f aca="false">IF(G$5="A",0,IF(AND(Assumptions!G$187&gt;=Engagement_Register!$AN$34,Assumptions!G$187&lt;=Engagement_Register!$AH$34,Engagement_Register!$AO$34&gt;0),(Engagement_Register!$AM$34-Engagement_Register!$AJ$34)*Assumptions!G$200/Engagement_Register!$AO$34,0))</f>
        <v>0</v>
      </c>
      <c r="H36" s="67" t="n">
        <f aca="false">IF(H$5="A",0,IF(AND(Assumptions!H$187&gt;=Engagement_Register!$AN$34,Assumptions!H$187&lt;=Engagement_Register!$AH$34,Engagement_Register!$AO$34&gt;0),(Engagement_Register!$AM$34-Engagement_Register!$AJ$34)*Assumptions!H$200/Engagement_Register!$AO$34,0))</f>
        <v>0</v>
      </c>
      <c r="I36" s="67" t="n">
        <f aca="false">IF(I$5="A",0,IF(AND(Assumptions!I$187&gt;=Engagement_Register!$AN$34,Assumptions!I$187&lt;=Engagement_Register!$AH$34,Engagement_Register!$AO$34&gt;0),(Engagement_Register!$AM$34-Engagement_Register!$AJ$34)*Assumptions!I$200/Engagement_Register!$AO$34,0))</f>
        <v>0</v>
      </c>
      <c r="J36" s="67" t="n">
        <f aca="false">IF(J$5="A",0,IF(AND(Assumptions!J$187&gt;=Engagement_Register!$AN$34,Assumptions!J$187&lt;=Engagement_Register!$AH$34,Engagement_Register!$AO$34&gt;0),(Engagement_Register!$AM$34-Engagement_Register!$AJ$34)*Assumptions!J$200/Engagement_Register!$AO$34,0))</f>
        <v>0</v>
      </c>
      <c r="K36" s="67" t="n">
        <f aca="false">IF(K$5="A",0,IF(AND(Assumptions!K$187&gt;=Engagement_Register!$AN$34,Assumptions!K$187&lt;=Engagement_Register!$AH$34,Engagement_Register!$AO$34&gt;0),(Engagement_Register!$AM$34-Engagement_Register!$AJ$34)*Assumptions!K$200/Engagement_Register!$AO$34,0))</f>
        <v>0</v>
      </c>
      <c r="L36" s="67" t="n">
        <f aca="false">IF(L$5="A",0,IF(AND(Assumptions!L$187&gt;=Engagement_Register!$AN$34,Assumptions!L$187&lt;=Engagement_Register!$AH$34,Engagement_Register!$AO$34&gt;0),(Engagement_Register!$AM$34-Engagement_Register!$AJ$34)*Assumptions!L$200/Engagement_Register!$AO$34,0))</f>
        <v>0</v>
      </c>
      <c r="M36" s="67" t="n">
        <f aca="false">IF(M$5="A",0,IF(AND(Assumptions!M$187&gt;=Engagement_Register!$AN$34,Assumptions!M$187&lt;=Engagement_Register!$AH$34,Engagement_Register!$AO$34&gt;0),(Engagement_Register!$AM$34-Engagement_Register!$AJ$34)*Assumptions!M$200/Engagement_Register!$AO$34,0))</f>
        <v>0</v>
      </c>
      <c r="N36" s="67" t="n">
        <f aca="false">IF(N$5="A",0,IF(AND(Assumptions!N$187&gt;=Engagement_Register!$AN$34,Assumptions!N$187&lt;=Engagement_Register!$AH$34,Engagement_Register!$AO$34&gt;0),(Engagement_Register!$AM$34-Engagement_Register!$AJ$34)*Assumptions!N$200/Engagement_Register!$AO$34,0))</f>
        <v>0</v>
      </c>
      <c r="O36" s="67" t="n">
        <f aca="false">IF(O$5="A",0,IF(AND(Assumptions!O$187&gt;=Engagement_Register!$AN$34,Assumptions!O$187&lt;=Engagement_Register!$AH$34,Engagement_Register!$AO$34&gt;0),(Engagement_Register!$AM$34-Engagement_Register!$AJ$34)*Assumptions!O$200/Engagement_Register!$AO$34,0))</f>
        <v>0</v>
      </c>
      <c r="P36" s="67" t="n">
        <f aca="false">IF(P$5="A",0,IF(AND(Assumptions!P$187&gt;=Engagement_Register!$AN$34,Assumptions!P$187&lt;=Engagement_Register!$AH$34,Engagement_Register!$AO$34&gt;0),(Engagement_Register!$AM$34-Engagement_Register!$AJ$34)*Assumptions!P$200/Engagement_Register!$AO$34,0))</f>
        <v>0</v>
      </c>
      <c r="Q36" s="67" t="n">
        <f aca="false">IF(Q$5="A",0,IF(AND(Assumptions!Q$187&gt;=Engagement_Register!$AN$34,Assumptions!Q$187&lt;=Engagement_Register!$AH$34,Engagement_Register!$AO$34&gt;0),(Engagement_Register!$AM$34-Engagement_Register!$AJ$34)*Assumptions!Q$200/Engagement_Register!$AO$34,0))</f>
        <v>0</v>
      </c>
      <c r="R36" s="67" t="n">
        <f aca="false">IF(R$5="A",0,IF(AND(Assumptions!R$187&gt;=Engagement_Register!$AN$34,Assumptions!R$187&lt;=Engagement_Register!$AH$34,Engagement_Register!$AO$34&gt;0),(Engagement_Register!$AM$34-Engagement_Register!$AJ$34)*Assumptions!R$200/Engagement_Register!$AO$34,0))</f>
        <v>76.7694610778443</v>
      </c>
      <c r="S36" s="67" t="n">
        <f aca="false">IF(S$5="A",0,IF(AND(Assumptions!S$187&gt;=Engagement_Register!$AN$34,Assumptions!S$187&lt;=Engagement_Register!$AH$34,Engagement_Register!$AO$34&gt;0),(Engagement_Register!$AM$34-Engagement_Register!$AJ$34)*Assumptions!S$200/Engagement_Register!$AO$34,0))</f>
        <v>82.3526946107784</v>
      </c>
      <c r="T36" s="67" t="n">
        <f aca="false">IF(T$5="A",0,IF(AND(Assumptions!T$187&gt;=Engagement_Register!$AN$34,Assumptions!T$187&lt;=Engagement_Register!$AH$34,Engagement_Register!$AO$34&gt;0),(Engagement_Register!$AM$34-Engagement_Register!$AJ$34)*Assumptions!T$200/Engagement_Register!$AO$34,0))</f>
        <v>86.0748502994012</v>
      </c>
      <c r="U36" s="67" t="n">
        <f aca="false">IF(U$5="A",0,IF(AND(Assumptions!U$187&gt;=Engagement_Register!$AN$34,Assumptions!U$187&lt;=Engagement_Register!$AH$34,Engagement_Register!$AO$34&gt;0),(Engagement_Register!$AM$34-Engagement_Register!$AJ$34)*Assumptions!U$200/Engagement_Register!$AO$34,0))</f>
        <v>65.6029940119761</v>
      </c>
      <c r="V36" s="67" t="n">
        <f aca="false">IF(V$5="A",0,IF(AND(Assumptions!V$187&gt;=Engagement_Register!$AN$34,Assumptions!V$187&lt;=Engagement_Register!$AH$34,Engagement_Register!$AO$34&gt;0),(Engagement_Register!$AM$34-Engagement_Register!$AJ$34)*Assumptions!V$200/Engagement_Register!$AO$34,0))</f>
        <v>0</v>
      </c>
      <c r="W36" s="67" t="n">
        <f aca="false">IF(W$5="A",0,IF(AND(Assumptions!W$187&gt;=Engagement_Register!$AN$34,Assumptions!W$187&lt;=Engagement_Register!$AH$34,Engagement_Register!$AO$34&gt;0),(Engagement_Register!$AM$34-Engagement_Register!$AJ$34)*Assumptions!W$200/Engagement_Register!$AO$34,0))</f>
        <v>0</v>
      </c>
      <c r="X36" s="67" t="n">
        <f aca="false">IF(X$5="A",0,IF(AND(Assumptions!X$187&gt;=Engagement_Register!$AN$34,Assumptions!X$187&lt;=Engagement_Register!$AH$34,Engagement_Register!$AO$34&gt;0),(Engagement_Register!$AM$34-Engagement_Register!$AJ$34)*Assumptions!X$200/Engagement_Register!$AO$34,0))</f>
        <v>0</v>
      </c>
      <c r="Y36" s="67" t="n">
        <f aca="false">IF(Y$5="A",0,IF(AND(Assumptions!Y$187&gt;=Engagement_Register!$AN$34,Assumptions!Y$187&lt;=Engagement_Register!$AH$34,Engagement_Register!$AO$34&gt;0),(Engagement_Register!$AM$34-Engagement_Register!$AJ$34)*Assumptions!Y$200/Engagement_Register!$AO$34,0))</f>
        <v>0</v>
      </c>
      <c r="Z36" s="67" t="n">
        <f aca="false">IF(Z$5="A",0,IF(AND(Assumptions!Z$187&gt;=Engagement_Register!$AN$34,Assumptions!Z$187&lt;=Engagement_Register!$AH$34,Engagement_Register!$AO$34&gt;0),(Engagement_Register!$AM$34-Engagement_Register!$AJ$34)*Assumptions!Z$200/Engagement_Register!$AO$34,0))</f>
        <v>0</v>
      </c>
      <c r="AA36" s="67" t="n">
        <f aca="false">IF(AA$5="A",0,IF(AND(Assumptions!AA$187&gt;=Engagement_Register!$AN$34,Assumptions!AA$187&lt;=Engagement_Register!$AH$34,Engagement_Register!$AO$34&gt;0),(Engagement_Register!$AM$34-Engagement_Register!$AJ$34)*Assumptions!AA$200/Engagement_Register!$AO$34,0))</f>
        <v>0</v>
      </c>
      <c r="AB36" s="67" t="n">
        <f aca="false">IF(AB$5="A",0,IF(AND(Assumptions!AB$187&gt;=Engagement_Register!$AN$34,Assumptions!AB$187&lt;=Engagement_Register!$AH$34,Engagement_Register!$AO$34&gt;0),(Engagement_Register!$AM$34-Engagement_Register!$AJ$34)*Assumptions!AB$200/Engagement_Register!$AO$34,0))</f>
        <v>0</v>
      </c>
    </row>
    <row r="37" customFormat="false" ht="15" hidden="false" customHeight="false" outlineLevel="0" collapsed="false">
      <c r="A37" s="29" t="s">
        <v>826</v>
      </c>
      <c r="B37" s="60" t="s">
        <v>798</v>
      </c>
      <c r="C37" s="66" t="n">
        <f aca="false">SUM(E37:P37)</f>
        <v>0</v>
      </c>
      <c r="D37" s="66" t="n">
        <f aca="false">SUM(Q37:AB37)</f>
        <v>551.25</v>
      </c>
      <c r="E37" s="67" t="n">
        <f aca="false">IF(E$5="A",0,IF(AND(Assumptions!E$187&gt;=Engagement_Register!$AN$35,Assumptions!E$187&lt;=Engagement_Register!$AH$35,Engagement_Register!$AO$35&gt;0),(Engagement_Register!$AM$35-Engagement_Register!$AJ$35)*Assumptions!E$200/Engagement_Register!$AO$35,0))</f>
        <v>0</v>
      </c>
      <c r="F37" s="67" t="n">
        <f aca="false">IF(F$5="A",0,IF(AND(Assumptions!F$187&gt;=Engagement_Register!$AN$35,Assumptions!F$187&lt;=Engagement_Register!$AH$35,Engagement_Register!$AO$35&gt;0),(Engagement_Register!$AM$35-Engagement_Register!$AJ$35)*Assumptions!F$200/Engagement_Register!$AO$35,0))</f>
        <v>0</v>
      </c>
      <c r="G37" s="67" t="n">
        <f aca="false">IF(G$5="A",0,IF(AND(Assumptions!G$187&gt;=Engagement_Register!$AN$35,Assumptions!G$187&lt;=Engagement_Register!$AH$35,Engagement_Register!$AO$35&gt;0),(Engagement_Register!$AM$35-Engagement_Register!$AJ$35)*Assumptions!G$200/Engagement_Register!$AO$35,0))</f>
        <v>0</v>
      </c>
      <c r="H37" s="67" t="n">
        <f aca="false">IF(H$5="A",0,IF(AND(Assumptions!H$187&gt;=Engagement_Register!$AN$35,Assumptions!H$187&lt;=Engagement_Register!$AH$35,Engagement_Register!$AO$35&gt;0),(Engagement_Register!$AM$35-Engagement_Register!$AJ$35)*Assumptions!H$200/Engagement_Register!$AO$35,0))</f>
        <v>0</v>
      </c>
      <c r="I37" s="67" t="n">
        <f aca="false">IF(I$5="A",0,IF(AND(Assumptions!I$187&gt;=Engagement_Register!$AN$35,Assumptions!I$187&lt;=Engagement_Register!$AH$35,Engagement_Register!$AO$35&gt;0),(Engagement_Register!$AM$35-Engagement_Register!$AJ$35)*Assumptions!I$200/Engagement_Register!$AO$35,0))</f>
        <v>0</v>
      </c>
      <c r="J37" s="67" t="n">
        <f aca="false">IF(J$5="A",0,IF(AND(Assumptions!J$187&gt;=Engagement_Register!$AN$35,Assumptions!J$187&lt;=Engagement_Register!$AH$35,Engagement_Register!$AO$35&gt;0),(Engagement_Register!$AM$35-Engagement_Register!$AJ$35)*Assumptions!J$200/Engagement_Register!$AO$35,0))</f>
        <v>0</v>
      </c>
      <c r="K37" s="67" t="n">
        <f aca="false">IF(K$5="A",0,IF(AND(Assumptions!K$187&gt;=Engagement_Register!$AN$35,Assumptions!K$187&lt;=Engagement_Register!$AH$35,Engagement_Register!$AO$35&gt;0),(Engagement_Register!$AM$35-Engagement_Register!$AJ$35)*Assumptions!K$200/Engagement_Register!$AO$35,0))</f>
        <v>0</v>
      </c>
      <c r="L37" s="67" t="n">
        <f aca="false">IF(L$5="A",0,IF(AND(Assumptions!L$187&gt;=Engagement_Register!$AN$35,Assumptions!L$187&lt;=Engagement_Register!$AH$35,Engagement_Register!$AO$35&gt;0),(Engagement_Register!$AM$35-Engagement_Register!$AJ$35)*Assumptions!L$200/Engagement_Register!$AO$35,0))</f>
        <v>0</v>
      </c>
      <c r="M37" s="67" t="n">
        <f aca="false">IF(M$5="A",0,IF(AND(Assumptions!M$187&gt;=Engagement_Register!$AN$35,Assumptions!M$187&lt;=Engagement_Register!$AH$35,Engagement_Register!$AO$35&gt;0),(Engagement_Register!$AM$35-Engagement_Register!$AJ$35)*Assumptions!M$200/Engagement_Register!$AO$35,0))</f>
        <v>0</v>
      </c>
      <c r="N37" s="67" t="n">
        <f aca="false">IF(N$5="A",0,IF(AND(Assumptions!N$187&gt;=Engagement_Register!$AN$35,Assumptions!N$187&lt;=Engagement_Register!$AH$35,Engagement_Register!$AO$35&gt;0),(Engagement_Register!$AM$35-Engagement_Register!$AJ$35)*Assumptions!N$200/Engagement_Register!$AO$35,0))</f>
        <v>0</v>
      </c>
      <c r="O37" s="67" t="n">
        <f aca="false">IF(O$5="A",0,IF(AND(Assumptions!O$187&gt;=Engagement_Register!$AN$35,Assumptions!O$187&lt;=Engagement_Register!$AH$35,Engagement_Register!$AO$35&gt;0),(Engagement_Register!$AM$35-Engagement_Register!$AJ$35)*Assumptions!O$200/Engagement_Register!$AO$35,0))</f>
        <v>0</v>
      </c>
      <c r="P37" s="67" t="n">
        <f aca="false">IF(P$5="A",0,IF(AND(Assumptions!P$187&gt;=Engagement_Register!$AN$35,Assumptions!P$187&lt;=Engagement_Register!$AH$35,Engagement_Register!$AO$35&gt;0),(Engagement_Register!$AM$35-Engagement_Register!$AJ$35)*Assumptions!P$200/Engagement_Register!$AO$35,0))</f>
        <v>0</v>
      </c>
      <c r="Q37" s="67" t="n">
        <f aca="false">IF(Q$5="A",0,IF(AND(Assumptions!Q$187&gt;=Engagement_Register!$AN$35,Assumptions!Q$187&lt;=Engagement_Register!$AH$35,Engagement_Register!$AO$35&gt;0),(Engagement_Register!$AM$35-Engagement_Register!$AJ$35)*Assumptions!Q$200/Engagement_Register!$AO$35,0))</f>
        <v>86.5554465161924</v>
      </c>
      <c r="R37" s="67" t="n">
        <f aca="false">IF(R$5="A",0,IF(AND(Assumptions!R$187&gt;=Engagement_Register!$AN$35,Assumptions!R$187&lt;=Engagement_Register!$AH$35,Engagement_Register!$AO$35&gt;0),(Engagement_Register!$AM$35-Engagement_Register!$AJ$35)*Assumptions!R$200/Engagement_Register!$AO$35,0))</f>
        <v>89.2603042198234</v>
      </c>
      <c r="S37" s="67" t="n">
        <f aca="false">IF(S$5="A",0,IF(AND(Assumptions!S$187&gt;=Engagement_Register!$AN$35,Assumptions!S$187&lt;=Engagement_Register!$AH$35,Engagement_Register!$AO$35&gt;0),(Engagement_Register!$AM$35-Engagement_Register!$AJ$35)*Assumptions!S$200/Engagement_Register!$AO$35,0))</f>
        <v>95.7519627085378</v>
      </c>
      <c r="T37" s="67" t="n">
        <f aca="false">IF(T$5="A",0,IF(AND(Assumptions!T$187&gt;=Engagement_Register!$AN$35,Assumptions!T$187&lt;=Engagement_Register!$AH$35,Engagement_Register!$AO$35&gt;0),(Engagement_Register!$AM$35-Engagement_Register!$AJ$35)*Assumptions!T$200/Engagement_Register!$AO$35,0))</f>
        <v>100.079735034347</v>
      </c>
      <c r="U37" s="67" t="n">
        <f aca="false">IF(U$5="A",0,IF(AND(Assumptions!U$187&gt;=Engagement_Register!$AN$35,Assumptions!U$187&lt;=Engagement_Register!$AH$35,Engagement_Register!$AO$35&gt;0),(Engagement_Register!$AM$35-Engagement_Register!$AJ$35)*Assumptions!U$200/Engagement_Register!$AO$35,0))</f>
        <v>76.2769872423945</v>
      </c>
      <c r="V37" s="67" t="n">
        <f aca="false">IF(V$5="A",0,IF(AND(Assumptions!V$187&gt;=Engagement_Register!$AN$35,Assumptions!V$187&lt;=Engagement_Register!$AH$35,Engagement_Register!$AO$35&gt;0),(Engagement_Register!$AM$35-Engagement_Register!$AJ$35)*Assumptions!V$200/Engagement_Register!$AO$35,0))</f>
        <v>103.325564278705</v>
      </c>
      <c r="W37" s="67" t="n">
        <f aca="false">IF(W$5="A",0,IF(AND(Assumptions!W$187&gt;=Engagement_Register!$AN$35,Assumptions!W$187&lt;=Engagement_Register!$AH$35,Engagement_Register!$AO$35&gt;0),(Engagement_Register!$AM$35-Engagement_Register!$AJ$35)*Assumptions!W$200/Engagement_Register!$AO$35,0))</f>
        <v>0</v>
      </c>
      <c r="X37" s="67" t="n">
        <f aca="false">IF(X$5="A",0,IF(AND(Assumptions!X$187&gt;=Engagement_Register!$AN$35,Assumptions!X$187&lt;=Engagement_Register!$AH$35,Engagement_Register!$AO$35&gt;0),(Engagement_Register!$AM$35-Engagement_Register!$AJ$35)*Assumptions!X$200/Engagement_Register!$AO$35,0))</f>
        <v>0</v>
      </c>
      <c r="Y37" s="67" t="n">
        <f aca="false">IF(Y$5="A",0,IF(AND(Assumptions!Y$187&gt;=Engagement_Register!$AN$35,Assumptions!Y$187&lt;=Engagement_Register!$AH$35,Engagement_Register!$AO$35&gt;0),(Engagement_Register!$AM$35-Engagement_Register!$AJ$35)*Assumptions!Y$200/Engagement_Register!$AO$35,0))</f>
        <v>0</v>
      </c>
      <c r="Z37" s="67" t="n">
        <f aca="false">IF(Z$5="A",0,IF(AND(Assumptions!Z$187&gt;=Engagement_Register!$AN$35,Assumptions!Z$187&lt;=Engagement_Register!$AH$35,Engagement_Register!$AO$35&gt;0),(Engagement_Register!$AM$35-Engagement_Register!$AJ$35)*Assumptions!Z$200/Engagement_Register!$AO$35,0))</f>
        <v>0</v>
      </c>
      <c r="AA37" s="67" t="n">
        <f aca="false">IF(AA$5="A",0,IF(AND(Assumptions!AA$187&gt;=Engagement_Register!$AN$35,Assumptions!AA$187&lt;=Engagement_Register!$AH$35,Engagement_Register!$AO$35&gt;0),(Engagement_Register!$AM$35-Engagement_Register!$AJ$35)*Assumptions!AA$200/Engagement_Register!$AO$35,0))</f>
        <v>0</v>
      </c>
      <c r="AB37" s="67" t="n">
        <f aca="false">IF(AB$5="A",0,IF(AND(Assumptions!AB$187&gt;=Engagement_Register!$AN$35,Assumptions!AB$187&lt;=Engagement_Register!$AH$35,Engagement_Register!$AO$35&gt;0),(Engagement_Register!$AM$35-Engagement_Register!$AJ$35)*Assumptions!AB$200/Engagement_Register!$AO$35,0))</f>
        <v>0</v>
      </c>
    </row>
    <row r="38" customFormat="false" ht="15" hidden="false" customHeight="false" outlineLevel="0" collapsed="false">
      <c r="A38" s="29" t="s">
        <v>827</v>
      </c>
      <c r="B38" s="60" t="s">
        <v>798</v>
      </c>
      <c r="C38" s="66" t="n">
        <f aca="false">SUM(E38:P38)</f>
        <v>198.975369458128</v>
      </c>
      <c r="D38" s="66" t="n">
        <f aca="false">SUM(Q38:AB38)</f>
        <v>881.024630541872</v>
      </c>
      <c r="E38" s="67" t="n">
        <f aca="false">IF(E$5="A",0,IF(AND(Assumptions!E$187&gt;=Engagement_Register!$AN$36,Assumptions!E$187&lt;=Engagement_Register!$AH$36,Engagement_Register!$AO$36&gt;0),(Engagement_Register!$AM$36-Engagement_Register!$AJ$36)*Assumptions!E$200/Engagement_Register!$AO$36,0))</f>
        <v>0</v>
      </c>
      <c r="F38" s="67" t="n">
        <f aca="false">IF(F$5="A",0,IF(AND(Assumptions!F$187&gt;=Engagement_Register!$AN$36,Assumptions!F$187&lt;=Engagement_Register!$AH$36,Engagement_Register!$AO$36&gt;0),(Engagement_Register!$AM$36-Engagement_Register!$AJ$36)*Assumptions!F$200/Engagement_Register!$AO$36,0))</f>
        <v>0</v>
      </c>
      <c r="G38" s="67" t="n">
        <f aca="false">IF(G$5="A",0,IF(AND(Assumptions!G$187&gt;=Engagement_Register!$AN$36,Assumptions!G$187&lt;=Engagement_Register!$AH$36,Engagement_Register!$AO$36&gt;0),(Engagement_Register!$AM$36-Engagement_Register!$AJ$36)*Assumptions!G$200/Engagement_Register!$AO$36,0))</f>
        <v>0</v>
      </c>
      <c r="H38" s="67" t="n">
        <f aca="false">IF(H$5="A",0,IF(AND(Assumptions!H$187&gt;=Engagement_Register!$AN$36,Assumptions!H$187&lt;=Engagement_Register!$AH$36,Engagement_Register!$AO$36&gt;0),(Engagement_Register!$AM$36-Engagement_Register!$AJ$36)*Assumptions!H$200/Engagement_Register!$AO$36,0))</f>
        <v>0</v>
      </c>
      <c r="I38" s="67" t="n">
        <f aca="false">IF(I$5="A",0,IF(AND(Assumptions!I$187&gt;=Engagement_Register!$AN$36,Assumptions!I$187&lt;=Engagement_Register!$AH$36,Engagement_Register!$AO$36&gt;0),(Engagement_Register!$AM$36-Engagement_Register!$AJ$36)*Assumptions!I$200/Engagement_Register!$AO$36,0))</f>
        <v>0</v>
      </c>
      <c r="J38" s="67" t="n">
        <f aca="false">IF(J$5="A",0,IF(AND(Assumptions!J$187&gt;=Engagement_Register!$AN$36,Assumptions!J$187&lt;=Engagement_Register!$AH$36,Engagement_Register!$AO$36&gt;0),(Engagement_Register!$AM$36-Engagement_Register!$AJ$36)*Assumptions!J$200/Engagement_Register!$AO$36,0))</f>
        <v>0</v>
      </c>
      <c r="K38" s="67" t="n">
        <f aca="false">IF(K$5="A",0,IF(AND(Assumptions!K$187&gt;=Engagement_Register!$AN$36,Assumptions!K$187&lt;=Engagement_Register!$AH$36,Engagement_Register!$AO$36&gt;0),(Engagement_Register!$AM$36-Engagement_Register!$AJ$36)*Assumptions!K$200/Engagement_Register!$AO$36,0))</f>
        <v>0</v>
      </c>
      <c r="L38" s="67" t="n">
        <f aca="false">IF(L$5="A",0,IF(AND(Assumptions!L$187&gt;=Engagement_Register!$AN$36,Assumptions!L$187&lt;=Engagement_Register!$AH$36,Engagement_Register!$AO$36&gt;0),(Engagement_Register!$AM$36-Engagement_Register!$AJ$36)*Assumptions!L$200/Engagement_Register!$AO$36,0))</f>
        <v>0</v>
      </c>
      <c r="M38" s="67" t="n">
        <f aca="false">IF(M$5="A",0,IF(AND(Assumptions!M$187&gt;=Engagement_Register!$AN$36,Assumptions!M$187&lt;=Engagement_Register!$AH$36,Engagement_Register!$AO$36&gt;0),(Engagement_Register!$AM$36-Engagement_Register!$AJ$36)*Assumptions!M$200/Engagement_Register!$AO$36,0))</f>
        <v>0</v>
      </c>
      <c r="N38" s="67" t="n">
        <f aca="false">IF(N$5="A",0,IF(AND(Assumptions!N$187&gt;=Engagement_Register!$AN$36,Assumptions!N$187&lt;=Engagement_Register!$AH$36,Engagement_Register!$AO$36&gt;0),(Engagement_Register!$AM$36-Engagement_Register!$AJ$36)*Assumptions!N$200/Engagement_Register!$AO$36,0))</f>
        <v>0</v>
      </c>
      <c r="O38" s="67" t="n">
        <f aca="false">IF(O$5="A",0,IF(AND(Assumptions!O$187&gt;=Engagement_Register!$AN$36,Assumptions!O$187&lt;=Engagement_Register!$AH$36,Engagement_Register!$AO$36&gt;0),(Engagement_Register!$AM$36-Engagement_Register!$AJ$36)*Assumptions!O$200/Engagement_Register!$AO$36,0))</f>
        <v>0</v>
      </c>
      <c r="P38" s="67" t="n">
        <f aca="false">IF(P$5="A",0,IF(AND(Assumptions!P$187&gt;=Engagement_Register!$AN$36,Assumptions!P$187&lt;=Engagement_Register!$AH$36,Engagement_Register!$AO$36&gt;0),(Engagement_Register!$AM$36-Engagement_Register!$AJ$36)*Assumptions!P$200/Engagement_Register!$AO$36,0))</f>
        <v>198.975369458128</v>
      </c>
      <c r="Q38" s="67" t="n">
        <f aca="false">IF(Q$5="A",0,IF(AND(Assumptions!Q$187&gt;=Engagement_Register!$AN$36,Assumptions!Q$187&lt;=Engagement_Register!$AH$36,Engagement_Register!$AO$36&gt;0),(Engagement_Register!$AM$36-Engagement_Register!$AJ$36)*Assumptions!Q$200/Engagement_Register!$AO$36,0))</f>
        <v>170.246305418719</v>
      </c>
      <c r="R38" s="67" t="n">
        <f aca="false">IF(R$5="A",0,IF(AND(Assumptions!R$187&gt;=Engagement_Register!$AN$36,Assumptions!R$187&lt;=Engagement_Register!$AH$36,Engagement_Register!$AO$36&gt;0),(Engagement_Register!$AM$36-Engagement_Register!$AJ$36)*Assumptions!R$200/Engagement_Register!$AO$36,0))</f>
        <v>175.566502463054</v>
      </c>
      <c r="S38" s="67" t="n">
        <f aca="false">IF(S$5="A",0,IF(AND(Assumptions!S$187&gt;=Engagement_Register!$AN$36,Assumptions!S$187&lt;=Engagement_Register!$AH$36,Engagement_Register!$AO$36&gt;0),(Engagement_Register!$AM$36-Engagement_Register!$AJ$36)*Assumptions!S$200/Engagement_Register!$AO$36,0))</f>
        <v>188.334975369458</v>
      </c>
      <c r="T38" s="67" t="n">
        <f aca="false">IF(T$5="A",0,IF(AND(Assumptions!T$187&gt;=Engagement_Register!$AN$36,Assumptions!T$187&lt;=Engagement_Register!$AH$36,Engagement_Register!$AO$36&gt;0),(Engagement_Register!$AM$36-Engagement_Register!$AJ$36)*Assumptions!T$200/Engagement_Register!$AO$36,0))</f>
        <v>196.847290640394</v>
      </c>
      <c r="U38" s="67" t="n">
        <f aca="false">IF(U$5="A",0,IF(AND(Assumptions!U$187&gt;=Engagement_Register!$AN$36,Assumptions!U$187&lt;=Engagement_Register!$AH$36,Engagement_Register!$AO$36&gt;0),(Engagement_Register!$AM$36-Engagement_Register!$AJ$36)*Assumptions!U$200/Engagement_Register!$AO$36,0))</f>
        <v>150.029556650246</v>
      </c>
      <c r="V38" s="67" t="n">
        <f aca="false">IF(V$5="A",0,IF(AND(Assumptions!V$187&gt;=Engagement_Register!$AN$36,Assumptions!V$187&lt;=Engagement_Register!$AH$36,Engagement_Register!$AO$36&gt;0),(Engagement_Register!$AM$36-Engagement_Register!$AJ$36)*Assumptions!V$200/Engagement_Register!$AO$36,0))</f>
        <v>0</v>
      </c>
      <c r="W38" s="67" t="n">
        <f aca="false">IF(W$5="A",0,IF(AND(Assumptions!W$187&gt;=Engagement_Register!$AN$36,Assumptions!W$187&lt;=Engagement_Register!$AH$36,Engagement_Register!$AO$36&gt;0),(Engagement_Register!$AM$36-Engagement_Register!$AJ$36)*Assumptions!W$200/Engagement_Register!$AO$36,0))</f>
        <v>0</v>
      </c>
      <c r="X38" s="67" t="n">
        <f aca="false">IF(X$5="A",0,IF(AND(Assumptions!X$187&gt;=Engagement_Register!$AN$36,Assumptions!X$187&lt;=Engagement_Register!$AH$36,Engagement_Register!$AO$36&gt;0),(Engagement_Register!$AM$36-Engagement_Register!$AJ$36)*Assumptions!X$200/Engagement_Register!$AO$36,0))</f>
        <v>0</v>
      </c>
      <c r="Y38" s="67" t="n">
        <f aca="false">IF(Y$5="A",0,IF(AND(Assumptions!Y$187&gt;=Engagement_Register!$AN$36,Assumptions!Y$187&lt;=Engagement_Register!$AH$36,Engagement_Register!$AO$36&gt;0),(Engagement_Register!$AM$36-Engagement_Register!$AJ$36)*Assumptions!Y$200/Engagement_Register!$AO$36,0))</f>
        <v>0</v>
      </c>
      <c r="Z38" s="67" t="n">
        <f aca="false">IF(Z$5="A",0,IF(AND(Assumptions!Z$187&gt;=Engagement_Register!$AN$36,Assumptions!Z$187&lt;=Engagement_Register!$AH$36,Engagement_Register!$AO$36&gt;0),(Engagement_Register!$AM$36-Engagement_Register!$AJ$36)*Assumptions!Z$200/Engagement_Register!$AO$36,0))</f>
        <v>0</v>
      </c>
      <c r="AA38" s="67" t="n">
        <f aca="false">IF(AA$5="A",0,IF(AND(Assumptions!AA$187&gt;=Engagement_Register!$AN$36,Assumptions!AA$187&lt;=Engagement_Register!$AH$36,Engagement_Register!$AO$36&gt;0),(Engagement_Register!$AM$36-Engagement_Register!$AJ$36)*Assumptions!AA$200/Engagement_Register!$AO$36,0))</f>
        <v>0</v>
      </c>
      <c r="AB38" s="67" t="n">
        <f aca="false">IF(AB$5="A",0,IF(AND(Assumptions!AB$187&gt;=Engagement_Register!$AN$36,Assumptions!AB$187&lt;=Engagement_Register!$AH$36,Engagement_Register!$AO$36&gt;0),(Engagement_Register!$AM$36-Engagement_Register!$AJ$36)*Assumptions!AB$200/Engagement_Register!$AO$36,0))</f>
        <v>0</v>
      </c>
    </row>
    <row r="39" customFormat="false" ht="15" hidden="false" customHeight="false" outlineLevel="0" collapsed="false">
      <c r="A39" s="29" t="s">
        <v>828</v>
      </c>
      <c r="B39" s="60" t="s">
        <v>798</v>
      </c>
      <c r="C39" s="66" t="n">
        <f aca="false">SUM(E39:P39)</f>
        <v>0</v>
      </c>
      <c r="D39" s="66" t="n">
        <f aca="false">SUM(Q39:AB39)</f>
        <v>1260</v>
      </c>
      <c r="E39" s="67" t="n">
        <f aca="false">IF(E$5="A",0,IF(AND(Assumptions!E$187&gt;=Engagement_Register!$AN$37,Assumptions!E$187&lt;=Engagement_Register!$AH$37,Engagement_Register!$AO$37&gt;0),(Engagement_Register!$AM$37-Engagement_Register!$AJ$37)*Assumptions!E$200/Engagement_Register!$AO$37,0))</f>
        <v>0</v>
      </c>
      <c r="F39" s="67" t="n">
        <f aca="false">IF(F$5="A",0,IF(AND(Assumptions!F$187&gt;=Engagement_Register!$AN$37,Assumptions!F$187&lt;=Engagement_Register!$AH$37,Engagement_Register!$AO$37&gt;0),(Engagement_Register!$AM$37-Engagement_Register!$AJ$37)*Assumptions!F$200/Engagement_Register!$AO$37,0))</f>
        <v>0</v>
      </c>
      <c r="G39" s="67" t="n">
        <f aca="false">IF(G$5="A",0,IF(AND(Assumptions!G$187&gt;=Engagement_Register!$AN$37,Assumptions!G$187&lt;=Engagement_Register!$AH$37,Engagement_Register!$AO$37&gt;0),(Engagement_Register!$AM$37-Engagement_Register!$AJ$37)*Assumptions!G$200/Engagement_Register!$AO$37,0))</f>
        <v>0</v>
      </c>
      <c r="H39" s="67" t="n">
        <f aca="false">IF(H$5="A",0,IF(AND(Assumptions!H$187&gt;=Engagement_Register!$AN$37,Assumptions!H$187&lt;=Engagement_Register!$AH$37,Engagement_Register!$AO$37&gt;0),(Engagement_Register!$AM$37-Engagement_Register!$AJ$37)*Assumptions!H$200/Engagement_Register!$AO$37,0))</f>
        <v>0</v>
      </c>
      <c r="I39" s="67" t="n">
        <f aca="false">IF(I$5="A",0,IF(AND(Assumptions!I$187&gt;=Engagement_Register!$AN$37,Assumptions!I$187&lt;=Engagement_Register!$AH$37,Engagement_Register!$AO$37&gt;0),(Engagement_Register!$AM$37-Engagement_Register!$AJ$37)*Assumptions!I$200/Engagement_Register!$AO$37,0))</f>
        <v>0</v>
      </c>
      <c r="J39" s="67" t="n">
        <f aca="false">IF(J$5="A",0,IF(AND(Assumptions!J$187&gt;=Engagement_Register!$AN$37,Assumptions!J$187&lt;=Engagement_Register!$AH$37,Engagement_Register!$AO$37&gt;0),(Engagement_Register!$AM$37-Engagement_Register!$AJ$37)*Assumptions!J$200/Engagement_Register!$AO$37,0))</f>
        <v>0</v>
      </c>
      <c r="K39" s="67" t="n">
        <f aca="false">IF(K$5="A",0,IF(AND(Assumptions!K$187&gt;=Engagement_Register!$AN$37,Assumptions!K$187&lt;=Engagement_Register!$AH$37,Engagement_Register!$AO$37&gt;0),(Engagement_Register!$AM$37-Engagement_Register!$AJ$37)*Assumptions!K$200/Engagement_Register!$AO$37,0))</f>
        <v>0</v>
      </c>
      <c r="L39" s="67" t="n">
        <f aca="false">IF(L$5="A",0,IF(AND(Assumptions!L$187&gt;=Engagement_Register!$AN$37,Assumptions!L$187&lt;=Engagement_Register!$AH$37,Engagement_Register!$AO$37&gt;0),(Engagement_Register!$AM$37-Engagement_Register!$AJ$37)*Assumptions!L$200/Engagement_Register!$AO$37,0))</f>
        <v>0</v>
      </c>
      <c r="M39" s="67" t="n">
        <f aca="false">IF(M$5="A",0,IF(AND(Assumptions!M$187&gt;=Engagement_Register!$AN$37,Assumptions!M$187&lt;=Engagement_Register!$AH$37,Engagement_Register!$AO$37&gt;0),(Engagement_Register!$AM$37-Engagement_Register!$AJ$37)*Assumptions!M$200/Engagement_Register!$AO$37,0))</f>
        <v>0</v>
      </c>
      <c r="N39" s="67" t="n">
        <f aca="false">IF(N$5="A",0,IF(AND(Assumptions!N$187&gt;=Engagement_Register!$AN$37,Assumptions!N$187&lt;=Engagement_Register!$AH$37,Engagement_Register!$AO$37&gt;0),(Engagement_Register!$AM$37-Engagement_Register!$AJ$37)*Assumptions!N$200/Engagement_Register!$AO$37,0))</f>
        <v>0</v>
      </c>
      <c r="O39" s="67" t="n">
        <f aca="false">IF(O$5="A",0,IF(AND(Assumptions!O$187&gt;=Engagement_Register!$AN$37,Assumptions!O$187&lt;=Engagement_Register!$AH$37,Engagement_Register!$AO$37&gt;0),(Engagement_Register!$AM$37-Engagement_Register!$AJ$37)*Assumptions!O$200/Engagement_Register!$AO$37,0))</f>
        <v>0</v>
      </c>
      <c r="P39" s="67" t="n">
        <f aca="false">IF(P$5="A",0,IF(AND(Assumptions!P$187&gt;=Engagement_Register!$AN$37,Assumptions!P$187&lt;=Engagement_Register!$AH$37,Engagement_Register!$AO$37&gt;0),(Engagement_Register!$AM$37-Engagement_Register!$AJ$37)*Assumptions!P$200/Engagement_Register!$AO$37,0))</f>
        <v>0</v>
      </c>
      <c r="Q39" s="67" t="n">
        <f aca="false">IF(Q$5="A",0,IF(AND(Assumptions!Q$187&gt;=Engagement_Register!$AN$37,Assumptions!Q$187&lt;=Engagement_Register!$AH$37,Engagement_Register!$AO$37&gt;0),(Engagement_Register!$AM$37-Engagement_Register!$AJ$37)*Assumptions!Q$200/Engagement_Register!$AO$37,0))</f>
        <v>197.84102060844</v>
      </c>
      <c r="R39" s="67" t="n">
        <f aca="false">IF(R$5="A",0,IF(AND(Assumptions!R$187&gt;=Engagement_Register!$AN$37,Assumptions!R$187&lt;=Engagement_Register!$AH$37,Engagement_Register!$AO$37&gt;0),(Engagement_Register!$AM$37-Engagement_Register!$AJ$37)*Assumptions!R$200/Engagement_Register!$AO$37,0))</f>
        <v>204.023552502453</v>
      </c>
      <c r="S39" s="67" t="n">
        <f aca="false">IF(S$5="A",0,IF(AND(Assumptions!S$187&gt;=Engagement_Register!$AN$37,Assumptions!S$187&lt;=Engagement_Register!$AH$37,Engagement_Register!$AO$37&gt;0),(Engagement_Register!$AM$37-Engagement_Register!$AJ$37)*Assumptions!S$200/Engagement_Register!$AO$37,0))</f>
        <v>218.861629048086</v>
      </c>
      <c r="T39" s="67" t="n">
        <f aca="false">IF(T$5="A",0,IF(AND(Assumptions!T$187&gt;=Engagement_Register!$AN$37,Assumptions!T$187&lt;=Engagement_Register!$AH$37,Engagement_Register!$AO$37&gt;0),(Engagement_Register!$AM$37-Engagement_Register!$AJ$37)*Assumptions!T$200/Engagement_Register!$AO$37,0))</f>
        <v>228.753680078508</v>
      </c>
      <c r="U39" s="67" t="n">
        <f aca="false">IF(U$5="A",0,IF(AND(Assumptions!U$187&gt;=Engagement_Register!$AN$37,Assumptions!U$187&lt;=Engagement_Register!$AH$37,Engagement_Register!$AO$37&gt;0),(Engagement_Register!$AM$37-Engagement_Register!$AJ$37)*Assumptions!U$200/Engagement_Register!$AO$37,0))</f>
        <v>174.347399411187</v>
      </c>
      <c r="V39" s="67" t="n">
        <f aca="false">IF(V$5="A",0,IF(AND(Assumptions!V$187&gt;=Engagement_Register!$AN$37,Assumptions!V$187&lt;=Engagement_Register!$AH$37,Engagement_Register!$AO$37&gt;0),(Engagement_Register!$AM$37-Engagement_Register!$AJ$37)*Assumptions!V$200/Engagement_Register!$AO$37,0))</f>
        <v>236.172718351325</v>
      </c>
      <c r="W39" s="67" t="n">
        <f aca="false">IF(W$5="A",0,IF(AND(Assumptions!W$187&gt;=Engagement_Register!$AN$37,Assumptions!W$187&lt;=Engagement_Register!$AH$37,Engagement_Register!$AO$37&gt;0),(Engagement_Register!$AM$37-Engagement_Register!$AJ$37)*Assumptions!W$200/Engagement_Register!$AO$37,0))</f>
        <v>0</v>
      </c>
      <c r="X39" s="67" t="n">
        <f aca="false">IF(X$5="A",0,IF(AND(Assumptions!X$187&gt;=Engagement_Register!$AN$37,Assumptions!X$187&lt;=Engagement_Register!$AH$37,Engagement_Register!$AO$37&gt;0),(Engagement_Register!$AM$37-Engagement_Register!$AJ$37)*Assumptions!X$200/Engagement_Register!$AO$37,0))</f>
        <v>0</v>
      </c>
      <c r="Y39" s="67" t="n">
        <f aca="false">IF(Y$5="A",0,IF(AND(Assumptions!Y$187&gt;=Engagement_Register!$AN$37,Assumptions!Y$187&lt;=Engagement_Register!$AH$37,Engagement_Register!$AO$37&gt;0),(Engagement_Register!$AM$37-Engagement_Register!$AJ$37)*Assumptions!Y$200/Engagement_Register!$AO$37,0))</f>
        <v>0</v>
      </c>
      <c r="Z39" s="67" t="n">
        <f aca="false">IF(Z$5="A",0,IF(AND(Assumptions!Z$187&gt;=Engagement_Register!$AN$37,Assumptions!Z$187&lt;=Engagement_Register!$AH$37,Engagement_Register!$AO$37&gt;0),(Engagement_Register!$AM$37-Engagement_Register!$AJ$37)*Assumptions!Z$200/Engagement_Register!$AO$37,0))</f>
        <v>0</v>
      </c>
      <c r="AA39" s="67" t="n">
        <f aca="false">IF(AA$5="A",0,IF(AND(Assumptions!AA$187&gt;=Engagement_Register!$AN$37,Assumptions!AA$187&lt;=Engagement_Register!$AH$37,Engagement_Register!$AO$37&gt;0),(Engagement_Register!$AM$37-Engagement_Register!$AJ$37)*Assumptions!AA$200/Engagement_Register!$AO$37,0))</f>
        <v>0</v>
      </c>
      <c r="AB39" s="67" t="n">
        <f aca="false">IF(AB$5="A",0,IF(AND(Assumptions!AB$187&gt;=Engagement_Register!$AN$37,Assumptions!AB$187&lt;=Engagement_Register!$AH$37,Engagement_Register!$AO$37&gt;0),(Engagement_Register!$AM$37-Engagement_Register!$AJ$37)*Assumptions!AB$200/Engagement_Register!$AO$37,0))</f>
        <v>0</v>
      </c>
    </row>
    <row r="40" customFormat="false" ht="15" hidden="false" customHeight="false" outlineLevel="0" collapsed="false">
      <c r="A40" s="29" t="s">
        <v>829</v>
      </c>
      <c r="B40" s="60" t="s">
        <v>798</v>
      </c>
      <c r="C40" s="66" t="n">
        <f aca="false">SUM(E40:P40)</f>
        <v>0</v>
      </c>
      <c r="D40" s="66" t="n">
        <f aca="false">SUM(Q40:AB40)</f>
        <v>637.875</v>
      </c>
      <c r="E40" s="67" t="n">
        <f aca="false">IF(E$5="A",0,IF(AND(Assumptions!E$187&gt;=Engagement_Register!$AN$38,Assumptions!E$187&lt;=Engagement_Register!$AH$38,Engagement_Register!$AO$38&gt;0),(Engagement_Register!$AM$38-Engagement_Register!$AJ$38)*Assumptions!E$200/Engagement_Register!$AO$38,0))</f>
        <v>0</v>
      </c>
      <c r="F40" s="67" t="n">
        <f aca="false">IF(F$5="A",0,IF(AND(Assumptions!F$187&gt;=Engagement_Register!$AN$38,Assumptions!F$187&lt;=Engagement_Register!$AH$38,Engagement_Register!$AO$38&gt;0),(Engagement_Register!$AM$38-Engagement_Register!$AJ$38)*Assumptions!F$200/Engagement_Register!$AO$38,0))</f>
        <v>0</v>
      </c>
      <c r="G40" s="67" t="n">
        <f aca="false">IF(G$5="A",0,IF(AND(Assumptions!G$187&gt;=Engagement_Register!$AN$38,Assumptions!G$187&lt;=Engagement_Register!$AH$38,Engagement_Register!$AO$38&gt;0),(Engagement_Register!$AM$38-Engagement_Register!$AJ$38)*Assumptions!G$200/Engagement_Register!$AO$38,0))</f>
        <v>0</v>
      </c>
      <c r="H40" s="67" t="n">
        <f aca="false">IF(H$5="A",0,IF(AND(Assumptions!H$187&gt;=Engagement_Register!$AN$38,Assumptions!H$187&lt;=Engagement_Register!$AH$38,Engagement_Register!$AO$38&gt;0),(Engagement_Register!$AM$38-Engagement_Register!$AJ$38)*Assumptions!H$200/Engagement_Register!$AO$38,0))</f>
        <v>0</v>
      </c>
      <c r="I40" s="67" t="n">
        <f aca="false">IF(I$5="A",0,IF(AND(Assumptions!I$187&gt;=Engagement_Register!$AN$38,Assumptions!I$187&lt;=Engagement_Register!$AH$38,Engagement_Register!$AO$38&gt;0),(Engagement_Register!$AM$38-Engagement_Register!$AJ$38)*Assumptions!I$200/Engagement_Register!$AO$38,0))</f>
        <v>0</v>
      </c>
      <c r="J40" s="67" t="n">
        <f aca="false">IF(J$5="A",0,IF(AND(Assumptions!J$187&gt;=Engagement_Register!$AN$38,Assumptions!J$187&lt;=Engagement_Register!$AH$38,Engagement_Register!$AO$38&gt;0),(Engagement_Register!$AM$38-Engagement_Register!$AJ$38)*Assumptions!J$200/Engagement_Register!$AO$38,0))</f>
        <v>0</v>
      </c>
      <c r="K40" s="67" t="n">
        <f aca="false">IF(K$5="A",0,IF(AND(Assumptions!K$187&gt;=Engagement_Register!$AN$38,Assumptions!K$187&lt;=Engagement_Register!$AH$38,Engagement_Register!$AO$38&gt;0),(Engagement_Register!$AM$38-Engagement_Register!$AJ$38)*Assumptions!K$200/Engagement_Register!$AO$38,0))</f>
        <v>0</v>
      </c>
      <c r="L40" s="67" t="n">
        <f aca="false">IF(L$5="A",0,IF(AND(Assumptions!L$187&gt;=Engagement_Register!$AN$38,Assumptions!L$187&lt;=Engagement_Register!$AH$38,Engagement_Register!$AO$38&gt;0),(Engagement_Register!$AM$38-Engagement_Register!$AJ$38)*Assumptions!L$200/Engagement_Register!$AO$38,0))</f>
        <v>0</v>
      </c>
      <c r="M40" s="67" t="n">
        <f aca="false">IF(M$5="A",0,IF(AND(Assumptions!M$187&gt;=Engagement_Register!$AN$38,Assumptions!M$187&lt;=Engagement_Register!$AH$38,Engagement_Register!$AO$38&gt;0),(Engagement_Register!$AM$38-Engagement_Register!$AJ$38)*Assumptions!M$200/Engagement_Register!$AO$38,0))</f>
        <v>0</v>
      </c>
      <c r="N40" s="67" t="n">
        <f aca="false">IF(N$5="A",0,IF(AND(Assumptions!N$187&gt;=Engagement_Register!$AN$38,Assumptions!N$187&lt;=Engagement_Register!$AH$38,Engagement_Register!$AO$38&gt;0),(Engagement_Register!$AM$38-Engagement_Register!$AJ$38)*Assumptions!N$200/Engagement_Register!$AO$38,0))</f>
        <v>0</v>
      </c>
      <c r="O40" s="67" t="n">
        <f aca="false">IF(O$5="A",0,IF(AND(Assumptions!O$187&gt;=Engagement_Register!$AN$38,Assumptions!O$187&lt;=Engagement_Register!$AH$38,Engagement_Register!$AO$38&gt;0),(Engagement_Register!$AM$38-Engagement_Register!$AJ$38)*Assumptions!O$200/Engagement_Register!$AO$38,0))</f>
        <v>0</v>
      </c>
      <c r="P40" s="67" t="n">
        <f aca="false">IF(P$5="A",0,IF(AND(Assumptions!P$187&gt;=Engagement_Register!$AN$38,Assumptions!P$187&lt;=Engagement_Register!$AH$38,Engagement_Register!$AO$38&gt;0),(Engagement_Register!$AM$38-Engagement_Register!$AJ$38)*Assumptions!P$200/Engagement_Register!$AO$38,0))</f>
        <v>0</v>
      </c>
      <c r="Q40" s="67" t="n">
        <f aca="false">IF(Q$5="A",0,IF(AND(Assumptions!Q$187&gt;=Engagement_Register!$AN$38,Assumptions!Q$187&lt;=Engagement_Register!$AH$38,Engagement_Register!$AO$38&gt;0),(Engagement_Register!$AM$38-Engagement_Register!$AJ$38)*Assumptions!Q$200/Engagement_Register!$AO$38,0))</f>
        <v>0</v>
      </c>
      <c r="R40" s="67" t="n">
        <f aca="false">IF(R$5="A",0,IF(AND(Assumptions!R$187&gt;=Engagement_Register!$AN$38,Assumptions!R$187&lt;=Engagement_Register!$AH$38,Engagement_Register!$AO$38&gt;0),(Engagement_Register!$AM$38-Engagement_Register!$AJ$38)*Assumptions!R$200/Engagement_Register!$AO$38,0))</f>
        <v>100.813577586207</v>
      </c>
      <c r="S40" s="67" t="n">
        <f aca="false">IF(S$5="A",0,IF(AND(Assumptions!S$187&gt;=Engagement_Register!$AN$38,Assumptions!S$187&lt;=Engagement_Register!$AH$38,Engagement_Register!$AO$38&gt;0),(Engagement_Register!$AM$38-Engagement_Register!$AJ$38)*Assumptions!S$200/Engagement_Register!$AO$38,0))</f>
        <v>108.145474137931</v>
      </c>
      <c r="T40" s="67" t="n">
        <f aca="false">IF(T$5="A",0,IF(AND(Assumptions!T$187&gt;=Engagement_Register!$AN$38,Assumptions!T$187&lt;=Engagement_Register!$AH$38,Engagement_Register!$AO$38&gt;0),(Engagement_Register!$AM$38-Engagement_Register!$AJ$38)*Assumptions!T$200/Engagement_Register!$AO$38,0))</f>
        <v>113.033405172414</v>
      </c>
      <c r="U40" s="67" t="n">
        <f aca="false">IF(U$5="A",0,IF(AND(Assumptions!U$187&gt;=Engagement_Register!$AN$38,Assumptions!U$187&lt;=Engagement_Register!$AH$38,Engagement_Register!$AO$38&gt;0),(Engagement_Register!$AM$38-Engagement_Register!$AJ$38)*Assumptions!U$200/Engagement_Register!$AO$38,0))</f>
        <v>86.1497844827586</v>
      </c>
      <c r="V40" s="67" t="n">
        <f aca="false">IF(V$5="A",0,IF(AND(Assumptions!V$187&gt;=Engagement_Register!$AN$38,Assumptions!V$187&lt;=Engagement_Register!$AH$38,Engagement_Register!$AO$38&gt;0),(Engagement_Register!$AM$38-Engagement_Register!$AJ$38)*Assumptions!V$200/Engagement_Register!$AO$38,0))</f>
        <v>116.699353448276</v>
      </c>
      <c r="W40" s="67" t="n">
        <f aca="false">IF(W$5="A",0,IF(AND(Assumptions!W$187&gt;=Engagement_Register!$AN$38,Assumptions!W$187&lt;=Engagement_Register!$AH$38,Engagement_Register!$AO$38&gt;0),(Engagement_Register!$AM$38-Engagement_Register!$AJ$38)*Assumptions!W$200/Engagement_Register!$AO$38,0))</f>
        <v>113.033405172414</v>
      </c>
      <c r="X40" s="67" t="n">
        <f aca="false">IF(X$5="A",0,IF(AND(Assumptions!X$187&gt;=Engagement_Register!$AN$38,Assumptions!X$187&lt;=Engagement_Register!$AH$38,Engagement_Register!$AO$38&gt;0),(Engagement_Register!$AM$38-Engagement_Register!$AJ$38)*Assumptions!X$200/Engagement_Register!$AO$38,0))</f>
        <v>0</v>
      </c>
      <c r="Y40" s="67" t="n">
        <f aca="false">IF(Y$5="A",0,IF(AND(Assumptions!Y$187&gt;=Engagement_Register!$AN$38,Assumptions!Y$187&lt;=Engagement_Register!$AH$38,Engagement_Register!$AO$38&gt;0),(Engagement_Register!$AM$38-Engagement_Register!$AJ$38)*Assumptions!Y$200/Engagement_Register!$AO$38,0))</f>
        <v>0</v>
      </c>
      <c r="Z40" s="67" t="n">
        <f aca="false">IF(Z$5="A",0,IF(AND(Assumptions!Z$187&gt;=Engagement_Register!$AN$38,Assumptions!Z$187&lt;=Engagement_Register!$AH$38,Engagement_Register!$AO$38&gt;0),(Engagement_Register!$AM$38-Engagement_Register!$AJ$38)*Assumptions!Z$200/Engagement_Register!$AO$38,0))</f>
        <v>0</v>
      </c>
      <c r="AA40" s="67" t="n">
        <f aca="false">IF(AA$5="A",0,IF(AND(Assumptions!AA$187&gt;=Engagement_Register!$AN$38,Assumptions!AA$187&lt;=Engagement_Register!$AH$38,Engagement_Register!$AO$38&gt;0),(Engagement_Register!$AM$38-Engagement_Register!$AJ$38)*Assumptions!AA$200/Engagement_Register!$AO$38,0))</f>
        <v>0</v>
      </c>
      <c r="AB40" s="67" t="n">
        <f aca="false">IF(AB$5="A",0,IF(AND(Assumptions!AB$187&gt;=Engagement_Register!$AN$38,Assumptions!AB$187&lt;=Engagement_Register!$AH$38,Engagement_Register!$AO$38&gt;0),(Engagement_Register!$AM$38-Engagement_Register!$AJ$38)*Assumptions!AB$200/Engagement_Register!$AO$38,0))</f>
        <v>0</v>
      </c>
    </row>
    <row r="41" customFormat="false" ht="15" hidden="false" customHeight="false" outlineLevel="0" collapsed="false">
      <c r="A41" s="29" t="s">
        <v>830</v>
      </c>
      <c r="B41" s="60" t="s">
        <v>798</v>
      </c>
      <c r="C41" s="66" t="n">
        <f aca="false">SUM(E41:P41)</f>
        <v>0</v>
      </c>
      <c r="D41" s="66" t="n">
        <f aca="false">SUM(Q41:AB41)</f>
        <v>840</v>
      </c>
      <c r="E41" s="67" t="n">
        <f aca="false">IF(E$5="A",0,IF(AND(Assumptions!E$187&gt;=Engagement_Register!$AN$39,Assumptions!E$187&lt;=Engagement_Register!$AH$39,Engagement_Register!$AO$39&gt;0),(Engagement_Register!$AM$39-Engagement_Register!$AJ$39)*Assumptions!E$200/Engagement_Register!$AO$39,0))</f>
        <v>0</v>
      </c>
      <c r="F41" s="67" t="n">
        <f aca="false">IF(F$5="A",0,IF(AND(Assumptions!F$187&gt;=Engagement_Register!$AN$39,Assumptions!F$187&lt;=Engagement_Register!$AH$39,Engagement_Register!$AO$39&gt;0),(Engagement_Register!$AM$39-Engagement_Register!$AJ$39)*Assumptions!F$200/Engagement_Register!$AO$39,0))</f>
        <v>0</v>
      </c>
      <c r="G41" s="67" t="n">
        <f aca="false">IF(G$5="A",0,IF(AND(Assumptions!G$187&gt;=Engagement_Register!$AN$39,Assumptions!G$187&lt;=Engagement_Register!$AH$39,Engagement_Register!$AO$39&gt;0),(Engagement_Register!$AM$39-Engagement_Register!$AJ$39)*Assumptions!G$200/Engagement_Register!$AO$39,0))</f>
        <v>0</v>
      </c>
      <c r="H41" s="67" t="n">
        <f aca="false">IF(H$5="A",0,IF(AND(Assumptions!H$187&gt;=Engagement_Register!$AN$39,Assumptions!H$187&lt;=Engagement_Register!$AH$39,Engagement_Register!$AO$39&gt;0),(Engagement_Register!$AM$39-Engagement_Register!$AJ$39)*Assumptions!H$200/Engagement_Register!$AO$39,0))</f>
        <v>0</v>
      </c>
      <c r="I41" s="67" t="n">
        <f aca="false">IF(I$5="A",0,IF(AND(Assumptions!I$187&gt;=Engagement_Register!$AN$39,Assumptions!I$187&lt;=Engagement_Register!$AH$39,Engagement_Register!$AO$39&gt;0),(Engagement_Register!$AM$39-Engagement_Register!$AJ$39)*Assumptions!I$200/Engagement_Register!$AO$39,0))</f>
        <v>0</v>
      </c>
      <c r="J41" s="67" t="n">
        <f aca="false">IF(J$5="A",0,IF(AND(Assumptions!J$187&gt;=Engagement_Register!$AN$39,Assumptions!J$187&lt;=Engagement_Register!$AH$39,Engagement_Register!$AO$39&gt;0),(Engagement_Register!$AM$39-Engagement_Register!$AJ$39)*Assumptions!J$200/Engagement_Register!$AO$39,0))</f>
        <v>0</v>
      </c>
      <c r="K41" s="67" t="n">
        <f aca="false">IF(K$5="A",0,IF(AND(Assumptions!K$187&gt;=Engagement_Register!$AN$39,Assumptions!K$187&lt;=Engagement_Register!$AH$39,Engagement_Register!$AO$39&gt;0),(Engagement_Register!$AM$39-Engagement_Register!$AJ$39)*Assumptions!K$200/Engagement_Register!$AO$39,0))</f>
        <v>0</v>
      </c>
      <c r="L41" s="67" t="n">
        <f aca="false">IF(L$5="A",0,IF(AND(Assumptions!L$187&gt;=Engagement_Register!$AN$39,Assumptions!L$187&lt;=Engagement_Register!$AH$39,Engagement_Register!$AO$39&gt;0),(Engagement_Register!$AM$39-Engagement_Register!$AJ$39)*Assumptions!L$200/Engagement_Register!$AO$39,0))</f>
        <v>0</v>
      </c>
      <c r="M41" s="67" t="n">
        <f aca="false">IF(M$5="A",0,IF(AND(Assumptions!M$187&gt;=Engagement_Register!$AN$39,Assumptions!M$187&lt;=Engagement_Register!$AH$39,Engagement_Register!$AO$39&gt;0),(Engagement_Register!$AM$39-Engagement_Register!$AJ$39)*Assumptions!M$200/Engagement_Register!$AO$39,0))</f>
        <v>0</v>
      </c>
      <c r="N41" s="67" t="n">
        <f aca="false">IF(N$5="A",0,IF(AND(Assumptions!N$187&gt;=Engagement_Register!$AN$39,Assumptions!N$187&lt;=Engagement_Register!$AH$39,Engagement_Register!$AO$39&gt;0),(Engagement_Register!$AM$39-Engagement_Register!$AJ$39)*Assumptions!N$200/Engagement_Register!$AO$39,0))</f>
        <v>0</v>
      </c>
      <c r="O41" s="67" t="n">
        <f aca="false">IF(O$5="A",0,IF(AND(Assumptions!O$187&gt;=Engagement_Register!$AN$39,Assumptions!O$187&lt;=Engagement_Register!$AH$39,Engagement_Register!$AO$39&gt;0),(Engagement_Register!$AM$39-Engagement_Register!$AJ$39)*Assumptions!O$200/Engagement_Register!$AO$39,0))</f>
        <v>0</v>
      </c>
      <c r="P41" s="67" t="n">
        <f aca="false">IF(P$5="A",0,IF(AND(Assumptions!P$187&gt;=Engagement_Register!$AN$39,Assumptions!P$187&lt;=Engagement_Register!$AH$39,Engagement_Register!$AO$39&gt;0),(Engagement_Register!$AM$39-Engagement_Register!$AJ$39)*Assumptions!P$200/Engagement_Register!$AO$39,0))</f>
        <v>0</v>
      </c>
      <c r="Q41" s="67" t="n">
        <f aca="false">IF(Q$5="A",0,IF(AND(Assumptions!Q$187&gt;=Engagement_Register!$AN$39,Assumptions!Q$187&lt;=Engagement_Register!$AH$39,Engagement_Register!$AO$39&gt;0),(Engagement_Register!$AM$39-Engagement_Register!$AJ$39)*Assumptions!Q$200/Engagement_Register!$AO$39,0))</f>
        <v>0</v>
      </c>
      <c r="R41" s="67" t="n">
        <f aca="false">IF(R$5="A",0,IF(AND(Assumptions!R$187&gt;=Engagement_Register!$AN$39,Assumptions!R$187&lt;=Engagement_Register!$AH$39,Engagement_Register!$AO$39&gt;0),(Engagement_Register!$AM$39-Engagement_Register!$AJ$39)*Assumptions!R$200/Engagement_Register!$AO$39,0))</f>
        <v>0</v>
      </c>
      <c r="S41" s="67" t="n">
        <f aca="false">IF(S$5="A",0,IF(AND(Assumptions!S$187&gt;=Engagement_Register!$AN$39,Assumptions!S$187&lt;=Engagement_Register!$AH$39,Engagement_Register!$AO$39&gt;0),(Engagement_Register!$AM$39-Engagement_Register!$AJ$39)*Assumptions!S$200/Engagement_Register!$AO$39,0))</f>
        <v>105.74679943101</v>
      </c>
      <c r="T41" s="67" t="n">
        <f aca="false">IF(T$5="A",0,IF(AND(Assumptions!T$187&gt;=Engagement_Register!$AN$39,Assumptions!T$187&lt;=Engagement_Register!$AH$39,Engagement_Register!$AO$39&gt;0),(Engagement_Register!$AM$39-Engagement_Register!$AJ$39)*Assumptions!T$200/Engagement_Register!$AO$39,0))</f>
        <v>110.526315789474</v>
      </c>
      <c r="U41" s="67" t="n">
        <f aca="false">IF(U$5="A",0,IF(AND(Assumptions!U$187&gt;=Engagement_Register!$AN$39,Assumptions!U$187&lt;=Engagement_Register!$AH$39,Engagement_Register!$AO$39&gt;0),(Engagement_Register!$AM$39-Engagement_Register!$AJ$39)*Assumptions!U$200/Engagement_Register!$AO$39,0))</f>
        <v>84.2389758179232</v>
      </c>
      <c r="V41" s="67" t="n">
        <f aca="false">IF(V$5="A",0,IF(AND(Assumptions!V$187&gt;=Engagement_Register!$AN$39,Assumptions!V$187&lt;=Engagement_Register!$AH$39,Engagement_Register!$AO$39&gt;0),(Engagement_Register!$AM$39-Engagement_Register!$AJ$39)*Assumptions!V$200/Engagement_Register!$AO$39,0))</f>
        <v>114.110953058322</v>
      </c>
      <c r="W41" s="67" t="n">
        <f aca="false">IF(W$5="A",0,IF(AND(Assumptions!W$187&gt;=Engagement_Register!$AN$39,Assumptions!W$187&lt;=Engagement_Register!$AH$39,Engagement_Register!$AO$39&gt;0),(Engagement_Register!$AM$39-Engagement_Register!$AJ$39)*Assumptions!W$200/Engagement_Register!$AO$39,0))</f>
        <v>110.526315789474</v>
      </c>
      <c r="X41" s="67" t="n">
        <f aca="false">IF(X$5="A",0,IF(AND(Assumptions!X$187&gt;=Engagement_Register!$AN$39,Assumptions!X$187&lt;=Engagement_Register!$AH$39,Engagement_Register!$AO$39&gt;0),(Engagement_Register!$AM$39-Engagement_Register!$AJ$39)*Assumptions!X$200/Engagement_Register!$AO$39,0))</f>
        <v>96.7852062588905</v>
      </c>
      <c r="Y41" s="67" t="n">
        <f aca="false">IF(Y$5="A",0,IF(AND(Assumptions!Y$187&gt;=Engagement_Register!$AN$39,Assumptions!Y$187&lt;=Engagement_Register!$AH$39,Engagement_Register!$AO$39&gt;0),(Engagement_Register!$AM$39-Engagement_Register!$AJ$39)*Assumptions!Y$200/Engagement_Register!$AO$39,0))</f>
        <v>114.110953058322</v>
      </c>
      <c r="Z41" s="67" t="n">
        <f aca="false">IF(Z$5="A",0,IF(AND(Assumptions!Z$187&gt;=Engagement_Register!$AN$39,Assumptions!Z$187&lt;=Engagement_Register!$AH$39,Engagement_Register!$AO$39&gt;0),(Engagement_Register!$AM$39-Engagement_Register!$AJ$39)*Assumptions!Z$200/Engagement_Register!$AO$39,0))</f>
        <v>103.954480796586</v>
      </c>
      <c r="AA41" s="67" t="n">
        <f aca="false">IF(AA$5="A",0,IF(AND(Assumptions!AA$187&gt;=Engagement_Register!$AN$39,Assumptions!AA$187&lt;=Engagement_Register!$AH$39,Engagement_Register!$AO$39&gt;0),(Engagement_Register!$AM$39-Engagement_Register!$AJ$39)*Assumptions!AA$200/Engagement_Register!$AO$39,0))</f>
        <v>0</v>
      </c>
      <c r="AB41" s="67" t="n">
        <f aca="false">IF(AB$5="A",0,IF(AND(Assumptions!AB$187&gt;=Engagement_Register!$AN$39,Assumptions!AB$187&lt;=Engagement_Register!$AH$39,Engagement_Register!$AO$39&gt;0),(Engagement_Register!$AM$39-Engagement_Register!$AJ$39)*Assumptions!AB$200/Engagement_Register!$AO$39,0))</f>
        <v>0</v>
      </c>
    </row>
    <row r="43" customFormat="false" ht="15" hidden="false" customHeight="false" outlineLevel="0" collapsed="false">
      <c r="A43" s="23" t="s">
        <v>831</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row>
    <row r="44" customFormat="false" ht="15" hidden="false" customHeight="false" outlineLevel="0" collapsed="false">
      <c r="A44" s="29" t="s">
        <v>736</v>
      </c>
      <c r="B44" s="60" t="s">
        <v>832</v>
      </c>
      <c r="C44" s="66" t="n">
        <f aca="false">P44</f>
        <v>13354.1</v>
      </c>
      <c r="D44" s="66" t="n">
        <f aca="false">AB44</f>
        <v>15362.1</v>
      </c>
      <c r="E44" s="67" t="n">
        <f aca="false">Engagement_Register!$T$7+E9</f>
        <v>5755.2</v>
      </c>
      <c r="F44" s="72" t="n">
        <f aca="false">E44+F9</f>
        <v>6377.2</v>
      </c>
      <c r="G44" s="72" t="n">
        <f aca="false">F44+G9</f>
        <v>7126.8</v>
      </c>
      <c r="H44" s="72" t="n">
        <f aca="false">G44+H9</f>
        <v>7689.4</v>
      </c>
      <c r="I44" s="72" t="n">
        <f aca="false">H44+I9</f>
        <v>8304.6</v>
      </c>
      <c r="J44" s="72" t="n">
        <f aca="false">I44+J9</f>
        <v>9001.1</v>
      </c>
      <c r="K44" s="72" t="n">
        <f aca="false">J44+K9</f>
        <v>9802.2</v>
      </c>
      <c r="L44" s="72" t="n">
        <f aca="false">K44+L9</f>
        <v>10378.1</v>
      </c>
      <c r="M44" s="72" t="n">
        <f aca="false">L44+M9</f>
        <v>11142.1</v>
      </c>
      <c r="N44" s="72" t="n">
        <f aca="false">M44+N9</f>
        <v>11878.1</v>
      </c>
      <c r="O44" s="72" t="n">
        <f aca="false">N44+O9</f>
        <v>12606.1</v>
      </c>
      <c r="P44" s="72" t="n">
        <f aca="false">O44+P9</f>
        <v>13354.1</v>
      </c>
      <c r="Q44" s="72" t="n">
        <f aca="false">P44+Q9</f>
        <v>13994.1</v>
      </c>
      <c r="R44" s="72" t="n">
        <f aca="false">Q44+R9</f>
        <v>14654.1</v>
      </c>
      <c r="S44" s="72" t="n">
        <f aca="false">R44+S9</f>
        <v>15362.1</v>
      </c>
      <c r="T44" s="72" t="n">
        <f aca="false">S44+T9</f>
        <v>15362.1</v>
      </c>
      <c r="U44" s="72" t="n">
        <f aca="false">T44+U9</f>
        <v>15362.1</v>
      </c>
      <c r="V44" s="72" t="n">
        <f aca="false">U44+V9</f>
        <v>15362.1</v>
      </c>
      <c r="W44" s="72" t="n">
        <f aca="false">V44+W9</f>
        <v>15362.1</v>
      </c>
      <c r="X44" s="72" t="n">
        <f aca="false">W44+X9</f>
        <v>15362.1</v>
      </c>
      <c r="Y44" s="72" t="n">
        <f aca="false">X44+Y9</f>
        <v>15362.1</v>
      </c>
      <c r="Z44" s="72" t="n">
        <f aca="false">Y44+Z9</f>
        <v>15362.1</v>
      </c>
      <c r="AA44" s="72" t="n">
        <f aca="false">Z44+AA9</f>
        <v>15362.1</v>
      </c>
      <c r="AB44" s="72" t="n">
        <f aca="false">AA44+AB9</f>
        <v>15362.1</v>
      </c>
    </row>
    <row r="45" customFormat="false" ht="15" hidden="false" customHeight="false" outlineLevel="0" collapsed="false">
      <c r="A45" s="29" t="s">
        <v>833</v>
      </c>
      <c r="B45" s="60" t="s">
        <v>834</v>
      </c>
      <c r="C45" s="61" t="n">
        <f aca="false">SUM(E45:P45)</f>
        <v>1697930.36</v>
      </c>
      <c r="D45" s="61" t="n">
        <f aca="false">SUM(Q45:AB45)</f>
        <v>426852.608</v>
      </c>
      <c r="E45" s="62" t="n">
        <f aca="false">E9*Engagement_Register!$AD$7*Assumptions!E$194</f>
        <v>144715.2</v>
      </c>
      <c r="F45" s="62" t="n">
        <f aca="false">F9*Engagement_Register!$AD$7*Assumptions!F$194</f>
        <v>127136.8</v>
      </c>
      <c r="G45" s="62" t="n">
        <f aca="false">G9*Engagement_Register!$AD$7*Assumptions!G$194</f>
        <v>153218.24</v>
      </c>
      <c r="H45" s="62" t="n">
        <f aca="false">H9*Engagement_Register!$AD$7*Assumptions!H$194</f>
        <v>114995.44</v>
      </c>
      <c r="I45" s="62" t="n">
        <f aca="false">I9*Engagement_Register!$AD$7*Assumptions!I$194</f>
        <v>125746.88</v>
      </c>
      <c r="J45" s="62" t="n">
        <f aca="false">J9*Engagement_Register!$AD$7*Assumptions!J$194</f>
        <v>142364.6</v>
      </c>
      <c r="K45" s="62" t="n">
        <f aca="false">K9*Engagement_Register!$AD$7*Assumptions!K$194</f>
        <v>163744.84</v>
      </c>
      <c r="L45" s="62" t="n">
        <f aca="false">L9*Engagement_Register!$AD$7*Assumptions!L$194</f>
        <v>117713.96</v>
      </c>
      <c r="M45" s="62" t="n">
        <f aca="false">M9*Engagement_Register!$AD$7*Assumptions!M$194</f>
        <v>156161.6</v>
      </c>
      <c r="N45" s="62" t="n">
        <f aca="false">N9*Engagement_Register!$AD$7*Assumptions!N$194</f>
        <v>150438.4</v>
      </c>
      <c r="O45" s="62" t="n">
        <f aca="false">O9*Engagement_Register!$AD$7*Assumptions!O$194</f>
        <v>148803.2</v>
      </c>
      <c r="P45" s="62" t="n">
        <f aca="false">P9*Engagement_Register!$AD$7*Assumptions!P$194</f>
        <v>152891.2</v>
      </c>
      <c r="Q45" s="62" t="n">
        <f aca="false">Q9*Engagement_Register!$AD$7*Assumptions!Q$194</f>
        <v>136048.64</v>
      </c>
      <c r="R45" s="62" t="n">
        <f aca="false">R9*Engagement_Register!$AD$7*Assumptions!R$194</f>
        <v>140300.16</v>
      </c>
      <c r="S45" s="62" t="n">
        <f aca="false">S9*Engagement_Register!$AD$7*Assumptions!S$194</f>
        <v>150503.808</v>
      </c>
      <c r="T45" s="62" t="n">
        <f aca="false">T9*Engagement_Register!$AD$7*Assumptions!T$194</f>
        <v>0</v>
      </c>
      <c r="U45" s="62" t="n">
        <f aca="false">U9*Engagement_Register!$AD$7*Assumptions!U$194</f>
        <v>0</v>
      </c>
      <c r="V45" s="62" t="n">
        <f aca="false">V9*Engagement_Register!$AD$7*Assumptions!V$194</f>
        <v>0</v>
      </c>
      <c r="W45" s="62" t="n">
        <f aca="false">W9*Engagement_Register!$AD$7*Assumptions!W$194</f>
        <v>0</v>
      </c>
      <c r="X45" s="62" t="n">
        <f aca="false">X9*Engagement_Register!$AD$7*Assumptions!X$194</f>
        <v>0</v>
      </c>
      <c r="Y45" s="62" t="n">
        <f aca="false">Y9*Engagement_Register!$AD$7*Assumptions!Y$194</f>
        <v>0</v>
      </c>
      <c r="Z45" s="62" t="n">
        <f aca="false">Z9*Engagement_Register!$AD$7*Assumptions!Z$194</f>
        <v>0</v>
      </c>
      <c r="AA45" s="62" t="n">
        <f aca="false">AA9*Engagement_Register!$AD$7*Assumptions!AA$194</f>
        <v>0</v>
      </c>
      <c r="AB45" s="62" t="n">
        <f aca="false">AB9*Engagement_Register!$AD$7*Assumptions!AB$194</f>
        <v>0</v>
      </c>
    </row>
    <row r="46" customFormat="false" ht="15" hidden="false" customHeight="false" outlineLevel="0" collapsed="false">
      <c r="A46" s="29" t="s">
        <v>835</v>
      </c>
      <c r="B46" s="60" t="s">
        <v>836</v>
      </c>
      <c r="C46" s="61" t="n">
        <f aca="false">SUM(E46:P46)</f>
        <v>1562095.9312</v>
      </c>
      <c r="D46" s="61" t="n">
        <f aca="false">SUM(Q46:AB46)</f>
        <v>392704.39936</v>
      </c>
      <c r="E46" s="62" t="n">
        <f aca="false">E9*Engagement_Register!$AE$7*Assumptions!E$194</f>
        <v>133137.984</v>
      </c>
      <c r="F46" s="62" t="n">
        <f aca="false">F9*Engagement_Register!$AE$7*Assumptions!F$194</f>
        <v>116965.856</v>
      </c>
      <c r="G46" s="62" t="n">
        <f aca="false">G9*Engagement_Register!$AE$7*Assumptions!G$194</f>
        <v>140960.7808</v>
      </c>
      <c r="H46" s="62" t="n">
        <f aca="false">H9*Engagement_Register!$AE$7*Assumptions!H$194</f>
        <v>105795.8048</v>
      </c>
      <c r="I46" s="62" t="n">
        <f aca="false">I9*Engagement_Register!$AE$7*Assumptions!I$194</f>
        <v>115687.1296</v>
      </c>
      <c r="J46" s="62" t="n">
        <f aca="false">J9*Engagement_Register!$AE$7*Assumptions!J$194</f>
        <v>130975.432</v>
      </c>
      <c r="K46" s="62" t="n">
        <f aca="false">K9*Engagement_Register!$AE$7*Assumptions!K$194</f>
        <v>150645.2528</v>
      </c>
      <c r="L46" s="62" t="n">
        <f aca="false">L9*Engagement_Register!$AE$7*Assumptions!L$194</f>
        <v>108296.8432</v>
      </c>
      <c r="M46" s="62" t="n">
        <f aca="false">M9*Engagement_Register!$AE$7*Assumptions!M$194</f>
        <v>143668.672</v>
      </c>
      <c r="N46" s="62" t="n">
        <f aca="false">N9*Engagement_Register!$AE$7*Assumptions!N$194</f>
        <v>138403.328</v>
      </c>
      <c r="O46" s="62" t="n">
        <f aca="false">O9*Engagement_Register!$AE$7*Assumptions!O$194</f>
        <v>136898.944</v>
      </c>
      <c r="P46" s="62" t="n">
        <f aca="false">P9*Engagement_Register!$AE$7*Assumptions!P$194</f>
        <v>140659.904</v>
      </c>
      <c r="Q46" s="62" t="n">
        <f aca="false">Q9*Engagement_Register!$AE$7*Assumptions!Q$194</f>
        <v>125164.7488</v>
      </c>
      <c r="R46" s="62" t="n">
        <f aca="false">R9*Engagement_Register!$AE$7*Assumptions!R$194</f>
        <v>129076.1472</v>
      </c>
      <c r="S46" s="62" t="n">
        <f aca="false">S9*Engagement_Register!$AE$7*Assumptions!S$194</f>
        <v>138463.50336</v>
      </c>
      <c r="T46" s="62" t="n">
        <f aca="false">T9*Engagement_Register!$AE$7*Assumptions!T$194</f>
        <v>0</v>
      </c>
      <c r="U46" s="62" t="n">
        <f aca="false">U9*Engagement_Register!$AE$7*Assumptions!U$194</f>
        <v>0</v>
      </c>
      <c r="V46" s="62" t="n">
        <f aca="false">V9*Engagement_Register!$AE$7*Assumptions!V$194</f>
        <v>0</v>
      </c>
      <c r="W46" s="62" t="n">
        <f aca="false">W9*Engagement_Register!$AE$7*Assumptions!W$194</f>
        <v>0</v>
      </c>
      <c r="X46" s="62" t="n">
        <f aca="false">X9*Engagement_Register!$AE$7*Assumptions!X$194</f>
        <v>0</v>
      </c>
      <c r="Y46" s="62" t="n">
        <f aca="false">Y9*Engagement_Register!$AE$7*Assumptions!Y$194</f>
        <v>0</v>
      </c>
      <c r="Z46" s="62" t="n">
        <f aca="false">Z9*Engagement_Register!$AE$7*Assumptions!Z$194</f>
        <v>0</v>
      </c>
      <c r="AA46" s="62" t="n">
        <f aca="false">AA9*Engagement_Register!$AE$7*Assumptions!AA$194</f>
        <v>0</v>
      </c>
      <c r="AB46" s="62" t="n">
        <f aca="false">AB9*Engagement_Register!$AE$7*Assumptions!AB$194</f>
        <v>0</v>
      </c>
    </row>
    <row r="47" customFormat="false" ht="15" hidden="false" customHeight="false" outlineLevel="0" collapsed="false">
      <c r="A47" s="68" t="s">
        <v>349</v>
      </c>
      <c r="B47" s="69" t="s">
        <v>837</v>
      </c>
      <c r="C47" s="70" t="n">
        <f aca="false">SUM(E47:P47)</f>
        <v>1515512.78193175</v>
      </c>
      <c r="D47" s="70" t="n">
        <f aca="false">SUM(Q47:AB47)</f>
        <v>378473.434607162</v>
      </c>
      <c r="E47" s="74" t="n">
        <f aca="false">IF(E$5="A",Inputs_Actuals!E11,E46*(1-Engagement_Register!$AS$7))</f>
        <v>129123.85</v>
      </c>
      <c r="F47" s="74" t="n">
        <f aca="false">IF(F$5="A",Inputs_Actuals!F11,F46*(1-Engagement_Register!$AS$7))</f>
        <v>113176.33</v>
      </c>
      <c r="G47" s="74" t="n">
        <f aca="false">IF(G$5="A",Inputs_Actuals!G11,G46*(1-Engagement_Register!$AS$7))</f>
        <v>139848.85</v>
      </c>
      <c r="H47" s="74" t="n">
        <f aca="false">IF(H$5="A",Inputs_Actuals!H11,H46*(1-Engagement_Register!$AS$7))</f>
        <v>101634.82</v>
      </c>
      <c r="I47" s="74" t="n">
        <f aca="false">IF(I$5="A",Inputs_Actuals!I11,I46*(1-Engagement_Register!$AS$7))</f>
        <v>113443.94</v>
      </c>
      <c r="J47" s="74" t="n">
        <f aca="false">IF(J$5="A",Inputs_Actuals!J11,J46*(1-Engagement_Register!$AS$7))</f>
        <v>128377.58</v>
      </c>
      <c r="K47" s="74" t="n">
        <f aca="false">IF(K$5="A",Inputs_Actuals!K11,K46*(1-Engagement_Register!$AS$7))</f>
        <v>144975.83</v>
      </c>
      <c r="L47" s="74" t="n">
        <f aca="false">IF(L$5="A",Inputs_Actuals!L11,L46*(1-Engagement_Register!$AS$7))</f>
        <v>105580.84</v>
      </c>
      <c r="M47" s="74" t="n">
        <f aca="false">IF(M$5="A",Inputs_Actuals!M11,M46*(1-Engagement_Register!$AS$7))</f>
        <v>138462.354447533</v>
      </c>
      <c r="N47" s="74" t="n">
        <f aca="false">IF(N$5="A",Inputs_Actuals!N11,N46*(1-Engagement_Register!$AS$7))</f>
        <v>133387.8178971</v>
      </c>
      <c r="O47" s="74" t="n">
        <f aca="false">IF(O$5="A",Inputs_Actuals!O11,O46*(1-Engagement_Register!$AS$7))</f>
        <v>131937.950311262</v>
      </c>
      <c r="P47" s="74" t="n">
        <f aca="false">IF(P$5="A",Inputs_Actuals!P11,P46*(1-Engagement_Register!$AS$7))</f>
        <v>135562.619275857</v>
      </c>
      <c r="Q47" s="74" t="n">
        <f aca="false">IF(Q$5="A",Inputs_Actuals!Q11,Q46*(1-Engagement_Register!$AS$7))</f>
        <v>120628.983141725</v>
      </c>
      <c r="R47" s="74" t="n">
        <f aca="false">IF(R$5="A",Inputs_Actuals!R11,R46*(1-Engagement_Register!$AS$7))</f>
        <v>124398.638864904</v>
      </c>
      <c r="S47" s="74" t="n">
        <f aca="false">IF(S$5="A",Inputs_Actuals!S11,S46*(1-Engagement_Register!$AS$7))</f>
        <v>133445.812600533</v>
      </c>
      <c r="T47" s="74" t="n">
        <f aca="false">IF(T$5="A",Inputs_Actuals!T11,T46*(1-Engagement_Register!$AS$7))</f>
        <v>0</v>
      </c>
      <c r="U47" s="74" t="n">
        <f aca="false">IF(U$5="A",Inputs_Actuals!U11,U46*(1-Engagement_Register!$AS$7))</f>
        <v>0</v>
      </c>
      <c r="V47" s="74" t="n">
        <f aca="false">IF(V$5="A",Inputs_Actuals!V11,V46*(1-Engagement_Register!$AS$7))</f>
        <v>0</v>
      </c>
      <c r="W47" s="74" t="n">
        <f aca="false">IF(W$5="A",Inputs_Actuals!W11,W46*(1-Engagement_Register!$AS$7))</f>
        <v>0</v>
      </c>
      <c r="X47" s="74" t="n">
        <f aca="false">IF(X$5="A",Inputs_Actuals!X11,X46*(1-Engagement_Register!$AS$7))</f>
        <v>0</v>
      </c>
      <c r="Y47" s="74" t="n">
        <f aca="false">IF(Y$5="A",Inputs_Actuals!Y11,Y46*(1-Engagement_Register!$AS$7))</f>
        <v>0</v>
      </c>
      <c r="Z47" s="74" t="n">
        <f aca="false">IF(Z$5="A",Inputs_Actuals!Z11,Z46*(1-Engagement_Register!$AS$7))</f>
        <v>0</v>
      </c>
      <c r="AA47" s="74" t="n">
        <f aca="false">IF(AA$5="A",Inputs_Actuals!AA11,AA46*(1-Engagement_Register!$AS$7))</f>
        <v>0</v>
      </c>
      <c r="AB47" s="74" t="n">
        <f aca="false">IF(AB$5="A",Inputs_Actuals!AB11,AB46*(1-Engagement_Register!$AS$7))</f>
        <v>0</v>
      </c>
    </row>
    <row r="48" customFormat="false" ht="15" hidden="false" customHeight="false" outlineLevel="0" collapsed="false">
      <c r="A48" s="29" t="s">
        <v>838</v>
      </c>
      <c r="B48" s="60" t="s">
        <v>839</v>
      </c>
      <c r="C48" s="61" t="n">
        <f aca="false">SUM(E48:P48)</f>
        <v>1511006.45265589</v>
      </c>
      <c r="D48" s="61" t="n">
        <f aca="false">SUM(Q48:AB48)</f>
        <v>514036.053883018</v>
      </c>
      <c r="E48" s="62" t="n">
        <f aca="false">IF(E$5="A",Inputs_Actuals!E12,0)</f>
        <v>131056.29</v>
      </c>
      <c r="F48" s="62" t="n">
        <f aca="false">IF(F$5="A",Inputs_Actuals!F12,E47)</f>
        <v>129123.85</v>
      </c>
      <c r="G48" s="62" t="n">
        <f aca="false">IF(G$5="A",Inputs_Actuals!G12,F47)</f>
        <v>113176.33</v>
      </c>
      <c r="H48" s="62" t="n">
        <f aca="false">IF(H$5="A",Inputs_Actuals!H12,G47)</f>
        <v>139848.85</v>
      </c>
      <c r="I48" s="62" t="n">
        <f aca="false">IF(I$5="A",Inputs_Actuals!I12,H47)</f>
        <v>101634.82</v>
      </c>
      <c r="J48" s="62" t="n">
        <f aca="false">IF(J$5="A",Inputs_Actuals!J12,I47)</f>
        <v>113443.94</v>
      </c>
      <c r="K48" s="62" t="n">
        <f aca="false">IF(K$5="A",Inputs_Actuals!K12,J47)</f>
        <v>128377.58</v>
      </c>
      <c r="L48" s="62" t="n">
        <f aca="false">IF(L$5="A",Inputs_Actuals!L12,K47)</f>
        <v>144975.83</v>
      </c>
      <c r="M48" s="62" t="n">
        <f aca="false">IF(M$5="A",Inputs_Actuals!M12,L47)</f>
        <v>105580.84</v>
      </c>
      <c r="N48" s="62" t="n">
        <f aca="false">IF(N$5="A",Inputs_Actuals!N12,M47)</f>
        <v>138462.354447533</v>
      </c>
      <c r="O48" s="62" t="n">
        <f aca="false">IF(O$5="A",Inputs_Actuals!O12,N47)</f>
        <v>133387.8178971</v>
      </c>
      <c r="P48" s="62" t="n">
        <f aca="false">IF(P$5="A",Inputs_Actuals!P12,O47)</f>
        <v>131937.950311262</v>
      </c>
      <c r="Q48" s="62" t="n">
        <f aca="false">IF(Q$5="A",Inputs_Actuals!Q12,P47)</f>
        <v>135562.619275857</v>
      </c>
      <c r="R48" s="62" t="n">
        <f aca="false">IF(R$5="A",Inputs_Actuals!R12,Q47)</f>
        <v>120628.983141725</v>
      </c>
      <c r="S48" s="62" t="n">
        <f aca="false">IF(S$5="A",Inputs_Actuals!S12,R47)</f>
        <v>124398.638864904</v>
      </c>
      <c r="T48" s="62" t="n">
        <f aca="false">IF(T$5="A",Inputs_Actuals!T12,S47)</f>
        <v>133445.812600533</v>
      </c>
      <c r="U48" s="62" t="n">
        <f aca="false">IF(U$5="A",Inputs_Actuals!U12,T47)</f>
        <v>0</v>
      </c>
      <c r="V48" s="62" t="n">
        <f aca="false">IF(V$5="A",Inputs_Actuals!V12,U47)</f>
        <v>0</v>
      </c>
      <c r="W48" s="62" t="n">
        <f aca="false">IF(W$5="A",Inputs_Actuals!W12,V47)</f>
        <v>0</v>
      </c>
      <c r="X48" s="62" t="n">
        <f aca="false">IF(X$5="A",Inputs_Actuals!X12,W47)</f>
        <v>0</v>
      </c>
      <c r="Y48" s="62" t="n">
        <f aca="false">IF(Y$5="A",Inputs_Actuals!Y12,X47)</f>
        <v>0</v>
      </c>
      <c r="Z48" s="62" t="n">
        <f aca="false">IF(Z$5="A",Inputs_Actuals!Z12,Y47)</f>
        <v>0</v>
      </c>
      <c r="AA48" s="62" t="n">
        <f aca="false">IF(AA$5="A",Inputs_Actuals!AA12,Z47)</f>
        <v>0</v>
      </c>
      <c r="AB48" s="62" t="n">
        <f aca="false">IF(AB$5="A",Inputs_Actuals!AB12,AA47)</f>
        <v>0</v>
      </c>
    </row>
    <row r="49" customFormat="false" ht="15" hidden="false" customHeight="false" outlineLevel="0" collapsed="false">
      <c r="A49" s="29" t="s">
        <v>840</v>
      </c>
      <c r="B49" s="60"/>
      <c r="C49" s="61" t="n">
        <f aca="false">P49</f>
        <v>2301958.04265589</v>
      </c>
      <c r="D49" s="61" t="n">
        <f aca="false">AB49</f>
        <v>2815994.09653891</v>
      </c>
      <c r="E49" s="62" t="n">
        <f aca="false">Engagement_Register!$V$7+E48</f>
        <v>922007.88</v>
      </c>
      <c r="F49" s="71" t="n">
        <f aca="false">E49+F48</f>
        <v>1051131.73</v>
      </c>
      <c r="G49" s="71" t="n">
        <f aca="false">F49+G48</f>
        <v>1164308.06</v>
      </c>
      <c r="H49" s="71" t="n">
        <f aca="false">G49+H48</f>
        <v>1304156.91</v>
      </c>
      <c r="I49" s="71" t="n">
        <f aca="false">H49+I48</f>
        <v>1405791.73</v>
      </c>
      <c r="J49" s="71" t="n">
        <f aca="false">I49+J48</f>
        <v>1519235.67</v>
      </c>
      <c r="K49" s="71" t="n">
        <f aca="false">J49+K48</f>
        <v>1647613.25</v>
      </c>
      <c r="L49" s="71" t="n">
        <f aca="false">K49+L48</f>
        <v>1792589.08</v>
      </c>
      <c r="M49" s="71" t="n">
        <f aca="false">L49+M48</f>
        <v>1898169.92</v>
      </c>
      <c r="N49" s="71" t="n">
        <f aca="false">M49+N48</f>
        <v>2036632.27444753</v>
      </c>
      <c r="O49" s="71" t="n">
        <f aca="false">N49+O48</f>
        <v>2170020.09234463</v>
      </c>
      <c r="P49" s="71" t="n">
        <f aca="false">O49+P48</f>
        <v>2301958.04265589</v>
      </c>
      <c r="Q49" s="71" t="n">
        <f aca="false">P49+Q48</f>
        <v>2437520.66193175</v>
      </c>
      <c r="R49" s="71" t="n">
        <f aca="false">Q49+R48</f>
        <v>2558149.64507348</v>
      </c>
      <c r="S49" s="71" t="n">
        <f aca="false">R49+S48</f>
        <v>2682548.28393838</v>
      </c>
      <c r="T49" s="71" t="n">
        <f aca="false">S49+T48</f>
        <v>2815994.09653891</v>
      </c>
      <c r="U49" s="71" t="n">
        <f aca="false">T49+U48</f>
        <v>2815994.09653891</v>
      </c>
      <c r="V49" s="71" t="n">
        <f aca="false">U49+V48</f>
        <v>2815994.09653891</v>
      </c>
      <c r="W49" s="71" t="n">
        <f aca="false">V49+W48</f>
        <v>2815994.09653891</v>
      </c>
      <c r="X49" s="71" t="n">
        <f aca="false">W49+X48</f>
        <v>2815994.09653891</v>
      </c>
      <c r="Y49" s="71" t="n">
        <f aca="false">X49+Y48</f>
        <v>2815994.09653891</v>
      </c>
      <c r="Z49" s="71" t="n">
        <f aca="false">Y49+Z48</f>
        <v>2815994.09653891</v>
      </c>
      <c r="AA49" s="71" t="n">
        <f aca="false">Z49+AA48</f>
        <v>2815994.09653891</v>
      </c>
      <c r="AB49" s="71" t="n">
        <f aca="false">AA49+AB48</f>
        <v>2815994.09653891</v>
      </c>
    </row>
    <row r="50" customFormat="false" ht="15" hidden="false" customHeight="false" outlineLevel="0" collapsed="false">
      <c r="A50" s="29" t="s">
        <v>841</v>
      </c>
      <c r="B50" s="60" t="s">
        <v>842</v>
      </c>
      <c r="C50" s="61" t="n">
        <f aca="false">SUM(E50:P50)</f>
        <v>93175.39</v>
      </c>
      <c r="D50" s="61" t="n">
        <f aca="false">SUM(Q50:AB50)</f>
        <v>22750.64</v>
      </c>
      <c r="E50" s="62" t="n">
        <f aca="false">IF(E$5="A",Inputs_Actuals!E13,E9*Engagement_Register!$N$7*Assumptions!E$195)</f>
        <v>7418</v>
      </c>
      <c r="F50" s="62" t="n">
        <f aca="false">IF(F$5="A",Inputs_Actuals!F13,F9*Engagement_Register!$N$7*Assumptions!F$195)</f>
        <v>5932.03</v>
      </c>
      <c r="G50" s="62" t="n">
        <f aca="false">IF(G$5="A",Inputs_Actuals!G13,G9*Engagement_Register!$N$7*Assumptions!G$195)</f>
        <v>8990.37</v>
      </c>
      <c r="H50" s="62" t="n">
        <f aca="false">IF(H$5="A",Inputs_Actuals!H13,H9*Engagement_Register!$N$7*Assumptions!H$195)</f>
        <v>5957.49</v>
      </c>
      <c r="I50" s="62" t="n">
        <f aca="false">IF(I$5="A",Inputs_Actuals!I13,I9*Engagement_Register!$N$7*Assumptions!I$195)</f>
        <v>6400.54</v>
      </c>
      <c r="J50" s="62" t="n">
        <f aca="false">IF(J$5="A",Inputs_Actuals!J13,J9*Engagement_Register!$N$7*Assumptions!J$195)</f>
        <v>8203.43</v>
      </c>
      <c r="K50" s="62" t="n">
        <f aca="false">IF(K$5="A",Inputs_Actuals!K13,K9*Engagement_Register!$N$7*Assumptions!K$195)</f>
        <v>10505.41</v>
      </c>
      <c r="L50" s="62" t="n">
        <f aca="false">IF(L$5="A",Inputs_Actuals!L13,L9*Engagement_Register!$N$7*Assumptions!L$195)</f>
        <v>7032.12</v>
      </c>
      <c r="M50" s="62" t="n">
        <f aca="false">IF(M$5="A",Inputs_Actuals!M13,M9*Engagement_Register!$N$7*Assumptions!M$195)</f>
        <v>8404</v>
      </c>
      <c r="N50" s="62" t="n">
        <f aca="false">IF(N$5="A",Inputs_Actuals!N13,N9*Engagement_Register!$N$7*Assumptions!N$195)</f>
        <v>8096</v>
      </c>
      <c r="O50" s="62" t="n">
        <f aca="false">IF(O$5="A",Inputs_Actuals!O13,O9*Engagement_Register!$N$7*Assumptions!O$195)</f>
        <v>8008</v>
      </c>
      <c r="P50" s="62" t="n">
        <f aca="false">IF(P$5="A",Inputs_Actuals!P13,P9*Engagement_Register!$N$7*Assumptions!P$195)</f>
        <v>8228</v>
      </c>
      <c r="Q50" s="62" t="n">
        <f aca="false">IF(Q$5="A",Inputs_Actuals!Q13,Q9*Engagement_Register!$N$7*Assumptions!Q$195)</f>
        <v>7251.2</v>
      </c>
      <c r="R50" s="62" t="n">
        <f aca="false">IF(R$5="A",Inputs_Actuals!R13,R9*Engagement_Register!$N$7*Assumptions!R$195)</f>
        <v>7477.8</v>
      </c>
      <c r="S50" s="62" t="n">
        <f aca="false">IF(S$5="A",Inputs_Actuals!S13,S9*Engagement_Register!$N$7*Assumptions!S$195)</f>
        <v>8021.64</v>
      </c>
      <c r="T50" s="62" t="n">
        <f aca="false">IF(T$5="A",Inputs_Actuals!T13,T9*Engagement_Register!$N$7*Assumptions!T$195)</f>
        <v>0</v>
      </c>
      <c r="U50" s="62" t="n">
        <f aca="false">IF(U$5="A",Inputs_Actuals!U13,U9*Engagement_Register!$N$7*Assumptions!U$195)</f>
        <v>0</v>
      </c>
      <c r="V50" s="62" t="n">
        <f aca="false">IF(V$5="A",Inputs_Actuals!V13,V9*Engagement_Register!$N$7*Assumptions!V$195)</f>
        <v>0</v>
      </c>
      <c r="W50" s="62" t="n">
        <f aca="false">IF(W$5="A",Inputs_Actuals!W13,W9*Engagement_Register!$N$7*Assumptions!W$195)</f>
        <v>0</v>
      </c>
      <c r="X50" s="62" t="n">
        <f aca="false">IF(X$5="A",Inputs_Actuals!X13,X9*Engagement_Register!$N$7*Assumptions!X$195)</f>
        <v>0</v>
      </c>
      <c r="Y50" s="62" t="n">
        <f aca="false">IF(Y$5="A",Inputs_Actuals!Y13,Y9*Engagement_Register!$N$7*Assumptions!Y$195)</f>
        <v>0</v>
      </c>
      <c r="Z50" s="62" t="n">
        <f aca="false">IF(Z$5="A",Inputs_Actuals!Z13,Z9*Engagement_Register!$N$7*Assumptions!Z$195)</f>
        <v>0</v>
      </c>
      <c r="AA50" s="62" t="n">
        <f aca="false">IF(AA$5="A",Inputs_Actuals!AA13,AA9*Engagement_Register!$N$7*Assumptions!AA$195)</f>
        <v>0</v>
      </c>
      <c r="AB50" s="62" t="n">
        <f aca="false">IF(AB$5="A",Inputs_Actuals!AB13,AB9*Engagement_Register!$N$7*Assumptions!AB$195)</f>
        <v>0</v>
      </c>
    </row>
    <row r="51" customFormat="false" ht="15" hidden="false" customHeight="false" outlineLevel="0" collapsed="false">
      <c r="A51" s="29" t="s">
        <v>843</v>
      </c>
      <c r="B51" s="60" t="s">
        <v>844</v>
      </c>
      <c r="C51" s="61" t="n">
        <f aca="false">SUM(E51:P51)</f>
        <v>93175.39</v>
      </c>
      <c r="D51" s="61" t="n">
        <f aca="false">SUM(Q51:AB51)</f>
        <v>22750.64</v>
      </c>
      <c r="E51" s="71" t="n">
        <f aca="false">E50</f>
        <v>7418</v>
      </c>
      <c r="F51" s="71" t="n">
        <f aca="false">F50</f>
        <v>5932.03</v>
      </c>
      <c r="G51" s="71" t="n">
        <f aca="false">G50</f>
        <v>8990.37</v>
      </c>
      <c r="H51" s="71" t="n">
        <f aca="false">H50</f>
        <v>5957.49</v>
      </c>
      <c r="I51" s="71" t="n">
        <f aca="false">I50</f>
        <v>6400.54</v>
      </c>
      <c r="J51" s="71" t="n">
        <f aca="false">J50</f>
        <v>8203.43</v>
      </c>
      <c r="K51" s="71" t="n">
        <f aca="false">K50</f>
        <v>10505.41</v>
      </c>
      <c r="L51" s="71" t="n">
        <f aca="false">L50</f>
        <v>7032.12</v>
      </c>
      <c r="M51" s="71" t="n">
        <f aca="false">M50</f>
        <v>8404</v>
      </c>
      <c r="N51" s="71" t="n">
        <f aca="false">N50</f>
        <v>8096</v>
      </c>
      <c r="O51" s="71" t="n">
        <f aca="false">O50</f>
        <v>8008</v>
      </c>
      <c r="P51" s="71" t="n">
        <f aca="false">P50</f>
        <v>8228</v>
      </c>
      <c r="Q51" s="71" t="n">
        <f aca="false">Q50</f>
        <v>7251.2</v>
      </c>
      <c r="R51" s="71" t="n">
        <f aca="false">R50</f>
        <v>7477.8</v>
      </c>
      <c r="S51" s="71" t="n">
        <f aca="false">S50</f>
        <v>8021.64</v>
      </c>
      <c r="T51" s="71" t="n">
        <f aca="false">T50</f>
        <v>0</v>
      </c>
      <c r="U51" s="71" t="n">
        <f aca="false">U50</f>
        <v>0</v>
      </c>
      <c r="V51" s="71" t="n">
        <f aca="false">V50</f>
        <v>0</v>
      </c>
      <c r="W51" s="71" t="n">
        <f aca="false">W50</f>
        <v>0</v>
      </c>
      <c r="X51" s="71" t="n">
        <f aca="false">X50</f>
        <v>0</v>
      </c>
      <c r="Y51" s="71" t="n">
        <f aca="false">Y50</f>
        <v>0</v>
      </c>
      <c r="Z51" s="71" t="n">
        <f aca="false">Z50</f>
        <v>0</v>
      </c>
      <c r="AA51" s="71" t="n">
        <f aca="false">AA50</f>
        <v>0</v>
      </c>
      <c r="AB51" s="71" t="n">
        <f aca="false">AB50</f>
        <v>0</v>
      </c>
    </row>
    <row r="52" customFormat="false" ht="15" hidden="false" customHeight="false" outlineLevel="0" collapsed="false">
      <c r="A52" s="29" t="s">
        <v>845</v>
      </c>
      <c r="B52" s="60" t="s">
        <v>846</v>
      </c>
      <c r="C52" s="61" t="n">
        <f aca="false">SUM(E52:P52)</f>
        <v>92097.18</v>
      </c>
      <c r="D52" s="61" t="n">
        <f aca="false">SUM(Q52:AB52)</f>
        <v>30978.64</v>
      </c>
      <c r="E52" s="62" t="n">
        <f aca="false">IF(E$5="A",Inputs_Actuals!E14,0)</f>
        <v>7149.79</v>
      </c>
      <c r="F52" s="62" t="n">
        <f aca="false">IF(F$5="A",Inputs_Actuals!F14,E51)</f>
        <v>7418</v>
      </c>
      <c r="G52" s="62" t="n">
        <f aca="false">IF(G$5="A",Inputs_Actuals!G14,F51)</f>
        <v>5932.03</v>
      </c>
      <c r="H52" s="62" t="n">
        <f aca="false">IF(H$5="A",Inputs_Actuals!H14,G51)</f>
        <v>8990.37</v>
      </c>
      <c r="I52" s="62" t="n">
        <f aca="false">IF(I$5="A",Inputs_Actuals!I14,H51)</f>
        <v>5957.49</v>
      </c>
      <c r="J52" s="62" t="n">
        <f aca="false">IF(J$5="A",Inputs_Actuals!J14,I51)</f>
        <v>6400.54</v>
      </c>
      <c r="K52" s="62" t="n">
        <f aca="false">IF(K$5="A",Inputs_Actuals!K14,J51)</f>
        <v>8203.43</v>
      </c>
      <c r="L52" s="62" t="n">
        <f aca="false">IF(L$5="A",Inputs_Actuals!L14,K51)</f>
        <v>10505.41</v>
      </c>
      <c r="M52" s="62" t="n">
        <f aca="false">IF(M$5="A",Inputs_Actuals!M14,L51)</f>
        <v>7032.12</v>
      </c>
      <c r="N52" s="62" t="n">
        <f aca="false">IF(N$5="A",Inputs_Actuals!N14,M51)</f>
        <v>8404</v>
      </c>
      <c r="O52" s="62" t="n">
        <f aca="false">IF(O$5="A",Inputs_Actuals!O14,N51)</f>
        <v>8096</v>
      </c>
      <c r="P52" s="62" t="n">
        <f aca="false">IF(P$5="A",Inputs_Actuals!P14,O51)</f>
        <v>8008</v>
      </c>
      <c r="Q52" s="62" t="n">
        <f aca="false">IF(Q$5="A",Inputs_Actuals!Q14,P51)</f>
        <v>8228</v>
      </c>
      <c r="R52" s="62" t="n">
        <f aca="false">IF(R$5="A",Inputs_Actuals!R14,Q51)</f>
        <v>7251.2</v>
      </c>
      <c r="S52" s="62" t="n">
        <f aca="false">IF(S$5="A",Inputs_Actuals!S14,R51)</f>
        <v>7477.8</v>
      </c>
      <c r="T52" s="62" t="n">
        <f aca="false">IF(T$5="A",Inputs_Actuals!T14,S51)</f>
        <v>8021.64</v>
      </c>
      <c r="U52" s="62" t="n">
        <f aca="false">IF(U$5="A",Inputs_Actuals!U14,T51)</f>
        <v>0</v>
      </c>
      <c r="V52" s="62" t="n">
        <f aca="false">IF(V$5="A",Inputs_Actuals!V14,U51)</f>
        <v>0</v>
      </c>
      <c r="W52" s="62" t="n">
        <f aca="false">IF(W$5="A",Inputs_Actuals!W14,V51)</f>
        <v>0</v>
      </c>
      <c r="X52" s="62" t="n">
        <f aca="false">IF(X$5="A",Inputs_Actuals!X14,W51)</f>
        <v>0</v>
      </c>
      <c r="Y52" s="62" t="n">
        <f aca="false">IF(Y$5="A",Inputs_Actuals!Y14,X51)</f>
        <v>0</v>
      </c>
      <c r="Z52" s="62" t="n">
        <f aca="false">IF(Z$5="A",Inputs_Actuals!Z14,Y51)</f>
        <v>0</v>
      </c>
      <c r="AA52" s="62" t="n">
        <f aca="false">IF(AA$5="A",Inputs_Actuals!AA14,Z51)</f>
        <v>0</v>
      </c>
      <c r="AB52" s="62" t="n">
        <f aca="false">IF(AB$5="A",Inputs_Actuals!AB14,AA51)</f>
        <v>0</v>
      </c>
    </row>
    <row r="53" customFormat="false" ht="15" hidden="false" customHeight="false" outlineLevel="0" collapsed="false">
      <c r="A53" s="29" t="s">
        <v>847</v>
      </c>
      <c r="B53" s="60" t="s">
        <v>848</v>
      </c>
      <c r="C53" s="61" t="n">
        <f aca="false">P53</f>
        <v>143790.619275857</v>
      </c>
      <c r="D53" s="61" t="n">
        <f aca="false">AB53</f>
        <v>0</v>
      </c>
      <c r="E53" s="62" t="n">
        <f aca="false">Engagement_Register!$X$7+E47+E51-E52-E48</f>
        <v>136541.85</v>
      </c>
      <c r="F53" s="71" t="n">
        <f aca="false">E53+F47+F51-F52-F48</f>
        <v>119108.36</v>
      </c>
      <c r="G53" s="71" t="n">
        <f aca="false">F53+G47+G51-G52-G48</f>
        <v>148839.22</v>
      </c>
      <c r="H53" s="71" t="n">
        <f aca="false">G53+H47+H51-H52-H48</f>
        <v>107592.31</v>
      </c>
      <c r="I53" s="71" t="n">
        <f aca="false">H53+I47+I51-I52-I48</f>
        <v>119844.48</v>
      </c>
      <c r="J53" s="71" t="n">
        <f aca="false">I53+J47+J51-J52-J48</f>
        <v>136581.01</v>
      </c>
      <c r="K53" s="71" t="n">
        <f aca="false">J53+K47+K51-K52-K48</f>
        <v>155481.24</v>
      </c>
      <c r="L53" s="71" t="n">
        <f aca="false">K53+L47+L51-L52-L48</f>
        <v>112612.96</v>
      </c>
      <c r="M53" s="71" t="n">
        <f aca="false">L53+M47+M51-M52-M48</f>
        <v>146866.354447533</v>
      </c>
      <c r="N53" s="71" t="n">
        <f aca="false">M53+N47+N51-N52-N48</f>
        <v>141483.8178971</v>
      </c>
      <c r="O53" s="71" t="n">
        <f aca="false">N53+O47+O51-O52-O48</f>
        <v>139945.950311262</v>
      </c>
      <c r="P53" s="71" t="n">
        <f aca="false">O53+P47+P51-P52-P48</f>
        <v>143790.619275857</v>
      </c>
      <c r="Q53" s="71" t="n">
        <f aca="false">P53+Q47+Q51-Q52-Q48</f>
        <v>127880.183141725</v>
      </c>
      <c r="R53" s="71" t="n">
        <f aca="false">Q53+R47+R51-R52-R48</f>
        <v>131876.438864904</v>
      </c>
      <c r="S53" s="71" t="n">
        <f aca="false">R53+S47+S51-S52-S48</f>
        <v>141467.452600533</v>
      </c>
      <c r="T53" s="71" t="n">
        <f aca="false">S53+T47+T51-T52-T48</f>
        <v>0</v>
      </c>
      <c r="U53" s="71" t="n">
        <f aca="false">T53+U47+U51-U52-U48</f>
        <v>0</v>
      </c>
      <c r="V53" s="71" t="n">
        <f aca="false">U53+V47+V51-V52-V48</f>
        <v>0</v>
      </c>
      <c r="W53" s="71" t="n">
        <f aca="false">V53+W47+W51-W52-W48</f>
        <v>0</v>
      </c>
      <c r="X53" s="71" t="n">
        <f aca="false">W53+X47+X51-X52-X48</f>
        <v>0</v>
      </c>
      <c r="Y53" s="71" t="n">
        <f aca="false">X53+Y47+Y51-Y52-Y48</f>
        <v>0</v>
      </c>
      <c r="Z53" s="71" t="n">
        <f aca="false">Y53+Z47+Z51-Z52-Z48</f>
        <v>0</v>
      </c>
      <c r="AA53" s="71" t="n">
        <f aca="false">Z53+AA47+AA51-AA52-AA48</f>
        <v>0</v>
      </c>
      <c r="AB53" s="71" t="n">
        <f aca="false">AA53+AB47+AB51-AB52-AB48</f>
        <v>0</v>
      </c>
    </row>
    <row r="54" customFormat="false" ht="15" hidden="false" customHeight="false" outlineLevel="0" collapsed="false">
      <c r="A54" s="29" t="s">
        <v>849</v>
      </c>
      <c r="B54" s="60" t="s">
        <v>850</v>
      </c>
      <c r="C54" s="61" t="n">
        <f aca="false">P54</f>
        <v>363916.764045347</v>
      </c>
      <c r="D54" s="61" t="n">
        <f aca="false">AB54</f>
        <v>0</v>
      </c>
      <c r="E54" s="62" t="n">
        <f aca="false">MAX(0,Engagement_Register!$AM$7-E44)*Engagement_Register!$AE$7*Assumptions!E$194*(1-Engagement_Register!$AS$7)</f>
        <v>1741091.61379843</v>
      </c>
      <c r="F54" s="62" t="n">
        <f aca="false">MAX(0,Engagement_Register!$AM$7-F44)*Engagement_Register!$AE$7*Assumptions!F$194*(1-Engagement_Register!$AS$7)</f>
        <v>1628364.40899952</v>
      </c>
      <c r="G54" s="62" t="n">
        <f aca="false">MAX(0,Engagement_Register!$AM$7-G44)*Engagement_Register!$AE$7*Assumptions!G$194*(1-Engagement_Register!$AS$7)</f>
        <v>1492511.8162065</v>
      </c>
      <c r="H54" s="62" t="n">
        <f aca="false">MAX(0,Engagement_Register!$AM$7-H44)*Engagement_Register!$AE$7*Assumptions!H$194*(1-Engagement_Register!$AS$7)</f>
        <v>1390549.87823244</v>
      </c>
      <c r="I54" s="62" t="n">
        <f aca="false">MAX(0,Engagement_Register!$AM$7-I44)*Engagement_Register!$AE$7*Assumptions!I$194*(1-Engagement_Register!$AS$7)</f>
        <v>1279055.06088149</v>
      </c>
      <c r="J54" s="62" t="n">
        <f aca="false">MAX(0,Engagement_Register!$AM$7-J44)*Engagement_Register!$AE$7*Assumptions!J$194*(1-Engagement_Register!$AS$7)</f>
        <v>1152825.96418947</v>
      </c>
      <c r="K54" s="62" t="n">
        <f aca="false">MAX(0,Engagement_Register!$AM$7-K44)*Engagement_Register!$AE$7*Assumptions!K$194*(1-Engagement_Register!$AS$7)</f>
        <v>1007639.84881261</v>
      </c>
      <c r="L54" s="62" t="n">
        <f aca="false">MAX(0,Engagement_Register!$AM$7-L44)*Engagement_Register!$AE$7*Assumptions!L$194*(1-Engagement_Register!$AS$7)</f>
        <v>903267.505977098</v>
      </c>
      <c r="M54" s="62" t="n">
        <f aca="false">MAX(0,Engagement_Register!$AM$7-M44)*Engagement_Register!$AE$7*Assumptions!M$194*(1-Engagement_Register!$AS$7)</f>
        <v>764805.151529565</v>
      </c>
      <c r="N54" s="62" t="n">
        <f aca="false">MAX(0,Engagement_Register!$AM$7-N44)*Engagement_Register!$AE$7*Assumptions!N$194*(1-Engagement_Register!$AS$7)</f>
        <v>631417.333632466</v>
      </c>
      <c r="O54" s="62" t="n">
        <f aca="false">MAX(0,Engagement_Register!$AM$7-O44)*Engagement_Register!$AE$7*Assumptions!O$194*(1-Engagement_Register!$AS$7)</f>
        <v>499479.383321204</v>
      </c>
      <c r="P54" s="62" t="n">
        <f aca="false">MAX(0,Engagement_Register!$AM$7-P44)*Engagement_Register!$AE$7*Assumptions!P$194*(1-Engagement_Register!$AS$7)</f>
        <v>363916.764045347</v>
      </c>
      <c r="Q54" s="62" t="n">
        <f aca="false">MAX(0,Engagement_Register!$AM$7-Q44)*Engagement_Register!$AE$7*Assumptions!Q$194*(1-Engagement_Register!$AS$7)</f>
        <v>257844.451465436</v>
      </c>
      <c r="R54" s="62" t="n">
        <f aca="false">MAX(0,Engagement_Register!$AM$7-R44)*Engagement_Register!$AE$7*Assumptions!R$194*(1-Engagement_Register!$AS$7)</f>
        <v>133445.812600533</v>
      </c>
      <c r="S54" s="62" t="n">
        <f aca="false">MAX(0,Engagement_Register!$AM$7-S44)*Engagement_Register!$AE$7*Assumptions!S$194*(1-Engagement_Register!$AS$7)</f>
        <v>0</v>
      </c>
      <c r="T54" s="62" t="n">
        <f aca="false">MAX(0,Engagement_Register!$AM$7-T44)*Engagement_Register!$AE$7*Assumptions!T$194*(1-Engagement_Register!$AS$7)</f>
        <v>0</v>
      </c>
      <c r="U54" s="62" t="n">
        <f aca="false">MAX(0,Engagement_Register!$AM$7-U44)*Engagement_Register!$AE$7*Assumptions!U$194*(1-Engagement_Register!$AS$7)</f>
        <v>0</v>
      </c>
      <c r="V54" s="62" t="n">
        <f aca="false">MAX(0,Engagement_Register!$AM$7-V44)*Engagement_Register!$AE$7*Assumptions!V$194*(1-Engagement_Register!$AS$7)</f>
        <v>0</v>
      </c>
      <c r="W54" s="62" t="n">
        <f aca="false">MAX(0,Engagement_Register!$AM$7-W44)*Engagement_Register!$AE$7*Assumptions!W$194*(1-Engagement_Register!$AS$7)</f>
        <v>0</v>
      </c>
      <c r="X54" s="62" t="n">
        <f aca="false">MAX(0,Engagement_Register!$AM$7-X44)*Engagement_Register!$AE$7*Assumptions!X$194*(1-Engagement_Register!$AS$7)</f>
        <v>0</v>
      </c>
      <c r="Y54" s="62" t="n">
        <f aca="false">MAX(0,Engagement_Register!$AM$7-Y44)*Engagement_Register!$AE$7*Assumptions!Y$194*(1-Engagement_Register!$AS$7)</f>
        <v>0</v>
      </c>
      <c r="Z54" s="62" t="n">
        <f aca="false">MAX(0,Engagement_Register!$AM$7-Z44)*Engagement_Register!$AE$7*Assumptions!Z$194*(1-Engagement_Register!$AS$7)</f>
        <v>0</v>
      </c>
      <c r="AA54" s="62" t="n">
        <f aca="false">MAX(0,Engagement_Register!$AM$7-AA44)*Engagement_Register!$AE$7*Assumptions!AA$194*(1-Engagement_Register!$AS$7)</f>
        <v>0</v>
      </c>
      <c r="AB54" s="62" t="n">
        <f aca="false">MAX(0,Engagement_Register!$AM$7-AB44)*Engagement_Register!$AE$7*Assumptions!AB$194*(1-Engagement_Register!$AS$7)</f>
        <v>0</v>
      </c>
    </row>
    <row r="56" customFormat="false" ht="15" hidden="false" customHeight="false" outlineLevel="0" collapsed="false">
      <c r="A56" s="23" t="s">
        <v>851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row>
    <row r="57" customFormat="false" ht="15" hidden="false" customHeight="false" outlineLevel="0" collapsed="false">
      <c r="A57" s="29" t="s">
        <v>736</v>
      </c>
      <c r="B57" s="60" t="s">
        <v>832</v>
      </c>
      <c r="C57" s="66" t="n">
        <f aca="false">P57</f>
        <v>3658.45</v>
      </c>
      <c r="D57" s="66" t="n">
        <f aca="false">AB57</f>
        <v>3658.45</v>
      </c>
      <c r="E57" s="67" t="n">
        <f aca="false">Engagement_Register!$T$8+E10</f>
        <v>1188.1</v>
      </c>
      <c r="F57" s="72" t="n">
        <f aca="false">E57+F10</f>
        <v>1441</v>
      </c>
      <c r="G57" s="72" t="n">
        <f aca="false">F57+G10</f>
        <v>1730.8</v>
      </c>
      <c r="H57" s="72" t="n">
        <f aca="false">G57+H10</f>
        <v>2021.3</v>
      </c>
      <c r="I57" s="72" t="n">
        <f aca="false">H57+I10</f>
        <v>2274.6</v>
      </c>
      <c r="J57" s="72" t="n">
        <f aca="false">I57+J10</f>
        <v>2609.1</v>
      </c>
      <c r="K57" s="72" t="n">
        <f aca="false">J57+K10</f>
        <v>2971.3</v>
      </c>
      <c r="L57" s="72" t="n">
        <f aca="false">K57+L10</f>
        <v>3271</v>
      </c>
      <c r="M57" s="72" t="n">
        <f aca="false">L57+M10</f>
        <v>3658.45</v>
      </c>
      <c r="N57" s="72" t="n">
        <f aca="false">M57+N10</f>
        <v>3658.45</v>
      </c>
      <c r="O57" s="72" t="n">
        <f aca="false">N57+O10</f>
        <v>3658.45</v>
      </c>
      <c r="P57" s="72" t="n">
        <f aca="false">O57+P10</f>
        <v>3658.45</v>
      </c>
      <c r="Q57" s="72" t="n">
        <f aca="false">P57+Q10</f>
        <v>3658.45</v>
      </c>
      <c r="R57" s="72" t="n">
        <f aca="false">Q57+R10</f>
        <v>3658.45</v>
      </c>
      <c r="S57" s="72" t="n">
        <f aca="false">R57+S10</f>
        <v>3658.45</v>
      </c>
      <c r="T57" s="72" t="n">
        <f aca="false">S57+T10</f>
        <v>3658.45</v>
      </c>
      <c r="U57" s="72" t="n">
        <f aca="false">T57+U10</f>
        <v>3658.45</v>
      </c>
      <c r="V57" s="72" t="n">
        <f aca="false">U57+V10</f>
        <v>3658.45</v>
      </c>
      <c r="W57" s="72" t="n">
        <f aca="false">V57+W10</f>
        <v>3658.45</v>
      </c>
      <c r="X57" s="72" t="n">
        <f aca="false">W57+X10</f>
        <v>3658.45</v>
      </c>
      <c r="Y57" s="72" t="n">
        <f aca="false">X57+Y10</f>
        <v>3658.45</v>
      </c>
      <c r="Z57" s="72" t="n">
        <f aca="false">Y57+Z10</f>
        <v>3658.45</v>
      </c>
      <c r="AA57" s="72" t="n">
        <f aca="false">Z57+AA10</f>
        <v>3658.45</v>
      </c>
      <c r="AB57" s="72" t="n">
        <f aca="false">AA57+AB10</f>
        <v>3658.45</v>
      </c>
    </row>
    <row r="58" customFormat="false" ht="15" hidden="false" customHeight="false" outlineLevel="0" collapsed="false">
      <c r="A58" s="29" t="s">
        <v>852</v>
      </c>
      <c r="B58" s="60" t="s">
        <v>853</v>
      </c>
      <c r="C58" s="66" t="n">
        <f aca="false">P58</f>
        <v>3658.45</v>
      </c>
      <c r="D58" s="66" t="n">
        <f aca="false">AB58</f>
        <v>3658.45</v>
      </c>
      <c r="E58" s="67" t="n">
        <f aca="false">IF(E$5="A",IF(E57+N(Inputs_Actuals!E16)&lt;=0,Engagement_Register!$AM$8,E57+N(Inputs_Actuals!E16)),Engagement_Register!$AM$8)</f>
        <v>3040</v>
      </c>
      <c r="F58" s="67" t="n">
        <f aca="false">IF(F$5="A",IF(F57+N(Inputs_Actuals!F16)&lt;=0,Engagement_Register!$AM$8,F57+N(Inputs_Actuals!F16)),Engagement_Register!$AM$8)</f>
        <v>3200</v>
      </c>
      <c r="G58" s="67" t="n">
        <f aca="false">IF(G$5="A",IF(G57+N(Inputs_Actuals!G16)&lt;=0,Engagement_Register!$AM$8,G57+N(Inputs_Actuals!G16)),Engagement_Register!$AM$8)</f>
        <v>3380</v>
      </c>
      <c r="H58" s="67" t="n">
        <f aca="false">IF(H$5="A",IF(H57+N(Inputs_Actuals!H16)&lt;=0,Engagement_Register!$AM$8,H57+N(Inputs_Actuals!H16)),Engagement_Register!$AM$8)</f>
        <v>3520</v>
      </c>
      <c r="I58" s="67" t="n">
        <f aca="false">IF(I$5="A",IF(I57+N(Inputs_Actuals!I16)&lt;=0,Engagement_Register!$AM$8,I57+N(Inputs_Actuals!I16)),Engagement_Register!$AM$8)</f>
        <v>3640</v>
      </c>
      <c r="J58" s="67" t="n">
        <f aca="false">IF(J$5="A",IF(J57+N(Inputs_Actuals!J16)&lt;=0,Engagement_Register!$AM$8,J57+N(Inputs_Actuals!J16)),Engagement_Register!$AM$8)</f>
        <v>3640</v>
      </c>
      <c r="K58" s="67" t="n">
        <f aca="false">IF(K$5="A",IF(K57+N(Inputs_Actuals!K16)&lt;=0,Engagement_Register!$AM$8,K57+N(Inputs_Actuals!K16)),Engagement_Register!$AM$8)</f>
        <v>3640</v>
      </c>
      <c r="L58" s="67" t="n">
        <f aca="false">IF(L$5="A",IF(L57+N(Inputs_Actuals!L16)&lt;=0,Engagement_Register!$AM$8,L57+N(Inputs_Actuals!L16)),Engagement_Register!$AM$8)</f>
        <v>3640</v>
      </c>
      <c r="M58" s="67" t="n">
        <f aca="false">IF(M$5="A",IF(M57+N(Inputs_Actuals!M16)&lt;=0,Engagement_Register!$AM$8,M57+N(Inputs_Actuals!M16)),Engagement_Register!$AM$8)</f>
        <v>3658.45</v>
      </c>
      <c r="N58" s="67" t="n">
        <f aca="false">IF(N$5="A",IF(N57+N(Inputs_Actuals!N16)&lt;=0,Engagement_Register!$AM$8,N57+N(Inputs_Actuals!N16)),Engagement_Register!$AM$8)</f>
        <v>3658.45</v>
      </c>
      <c r="O58" s="67" t="n">
        <f aca="false">IF(O$5="A",IF(O57+N(Inputs_Actuals!O16)&lt;=0,Engagement_Register!$AM$8,O57+N(Inputs_Actuals!O16)),Engagement_Register!$AM$8)</f>
        <v>3658.45</v>
      </c>
      <c r="P58" s="67" t="n">
        <f aca="false">IF(P$5="A",IF(P57+N(Inputs_Actuals!P16)&lt;=0,Engagement_Register!$AM$8,P57+N(Inputs_Actuals!P16)),Engagement_Register!$AM$8)</f>
        <v>3658.45</v>
      </c>
      <c r="Q58" s="67" t="n">
        <f aca="false">IF(Q$5="A",IF(Q57+N(Inputs_Actuals!Q16)&lt;=0,Engagement_Register!$AM$8,Q57+N(Inputs_Actuals!Q16)),Engagement_Register!$AM$8)</f>
        <v>3658.45</v>
      </c>
      <c r="R58" s="67" t="n">
        <f aca="false">IF(R$5="A",IF(R57+N(Inputs_Actuals!R16)&lt;=0,Engagement_Register!$AM$8,R57+N(Inputs_Actuals!R16)),Engagement_Register!$AM$8)</f>
        <v>3658.45</v>
      </c>
      <c r="S58" s="67" t="n">
        <f aca="false">IF(S$5="A",IF(S57+N(Inputs_Actuals!S16)&lt;=0,Engagement_Register!$AM$8,S57+N(Inputs_Actuals!S16)),Engagement_Register!$AM$8)</f>
        <v>3658.45</v>
      </c>
      <c r="T58" s="67" t="n">
        <f aca="false">IF(T$5="A",IF(T57+N(Inputs_Actuals!T16)&lt;=0,Engagement_Register!$AM$8,T57+N(Inputs_Actuals!T16)),Engagement_Register!$AM$8)</f>
        <v>3658.45</v>
      </c>
      <c r="U58" s="67" t="n">
        <f aca="false">IF(U$5="A",IF(U57+N(Inputs_Actuals!U16)&lt;=0,Engagement_Register!$AM$8,U57+N(Inputs_Actuals!U16)),Engagement_Register!$AM$8)</f>
        <v>3658.45</v>
      </c>
      <c r="V58" s="67" t="n">
        <f aca="false">IF(V$5="A",IF(V57+N(Inputs_Actuals!V16)&lt;=0,Engagement_Register!$AM$8,V57+N(Inputs_Actuals!V16)),Engagement_Register!$AM$8)</f>
        <v>3658.45</v>
      </c>
      <c r="W58" s="67" t="n">
        <f aca="false">IF(W$5="A",IF(W57+N(Inputs_Actuals!W16)&lt;=0,Engagement_Register!$AM$8,W57+N(Inputs_Actuals!W16)),Engagement_Register!$AM$8)</f>
        <v>3658.45</v>
      </c>
      <c r="X58" s="67" t="n">
        <f aca="false">IF(X$5="A",IF(X57+N(Inputs_Actuals!X16)&lt;=0,Engagement_Register!$AM$8,X57+N(Inputs_Actuals!X16)),Engagement_Register!$AM$8)</f>
        <v>3658.45</v>
      </c>
      <c r="Y58" s="67" t="n">
        <f aca="false">IF(Y$5="A",IF(Y57+N(Inputs_Actuals!Y16)&lt;=0,Engagement_Register!$AM$8,Y57+N(Inputs_Actuals!Y16)),Engagement_Register!$AM$8)</f>
        <v>3658.45</v>
      </c>
      <c r="Z58" s="67" t="n">
        <f aca="false">IF(Z$5="A",IF(Z57+N(Inputs_Actuals!Z16)&lt;=0,Engagement_Register!$AM$8,Z57+N(Inputs_Actuals!Z16)),Engagement_Register!$AM$8)</f>
        <v>3658.45</v>
      </c>
      <c r="AA58" s="67" t="n">
        <f aca="false">IF(AA$5="A",IF(AA57+N(Inputs_Actuals!AA16)&lt;=0,Engagement_Register!$AM$8,AA57+N(Inputs_Actuals!AA16)),Engagement_Register!$AM$8)</f>
        <v>3658.45</v>
      </c>
      <c r="AB58" s="67" t="n">
        <f aca="false">IF(AB$5="A",IF(AB57+N(Inputs_Actuals!AB16)&lt;=0,Engagement_Register!$AM$8,AB57+N(Inputs_Actuals!AB16)),Engagement_Register!$AM$8)</f>
        <v>3658.45</v>
      </c>
    </row>
    <row r="59" customFormat="false" ht="15" hidden="false" customHeight="false" outlineLevel="0" collapsed="false">
      <c r="A59" s="29" t="s">
        <v>854</v>
      </c>
      <c r="B59" s="60" t="s">
        <v>855</v>
      </c>
      <c r="C59" s="63" t="n">
        <f aca="false">P59</f>
        <v>1</v>
      </c>
      <c r="D59" s="63" t="n">
        <f aca="false">AB59</f>
        <v>1</v>
      </c>
      <c r="E59" s="64" t="n">
        <f aca="false">IF(E58&lt;=0,0,MIN(1,E57/E58))</f>
        <v>0.390822368421053</v>
      </c>
      <c r="F59" s="64" t="n">
        <f aca="false">IF(F58&lt;=0,0,MIN(1,F57/F58))</f>
        <v>0.4503125</v>
      </c>
      <c r="G59" s="64" t="n">
        <f aca="false">IF(G58&lt;=0,0,MIN(1,G57/G58))</f>
        <v>0.51207100591716</v>
      </c>
      <c r="H59" s="64" t="n">
        <f aca="false">IF(H58&lt;=0,0,MIN(1,H57/H58))</f>
        <v>0.574232954545455</v>
      </c>
      <c r="I59" s="64" t="n">
        <f aca="false">IF(I58&lt;=0,0,MIN(1,I57/I58))</f>
        <v>0.62489010989011</v>
      </c>
      <c r="J59" s="64" t="n">
        <f aca="false">IF(J58&lt;=0,0,MIN(1,J57/J58))</f>
        <v>0.716785714285714</v>
      </c>
      <c r="K59" s="64" t="n">
        <f aca="false">IF(K58&lt;=0,0,MIN(1,K57/K58))</f>
        <v>0.816291208791209</v>
      </c>
      <c r="L59" s="64" t="n">
        <f aca="false">IF(L58&lt;=0,0,MIN(1,L57/L58))</f>
        <v>0.898626373626374</v>
      </c>
      <c r="M59" s="64" t="n">
        <f aca="false">IF(M58&lt;=0,0,MIN(1,M57/M58))</f>
        <v>1</v>
      </c>
      <c r="N59" s="64" t="n">
        <f aca="false">IF(N58&lt;=0,0,MIN(1,N57/N58))</f>
        <v>1</v>
      </c>
      <c r="O59" s="64" t="n">
        <f aca="false">IF(O58&lt;=0,0,MIN(1,O57/O58))</f>
        <v>1</v>
      </c>
      <c r="P59" s="64" t="n">
        <f aca="false">IF(P58&lt;=0,0,MIN(1,P57/P58))</f>
        <v>1</v>
      </c>
      <c r="Q59" s="64" t="n">
        <f aca="false">IF(Q58&lt;=0,0,MIN(1,Q57/Q58))</f>
        <v>1</v>
      </c>
      <c r="R59" s="64" t="n">
        <f aca="false">IF(R58&lt;=0,0,MIN(1,R57/R58))</f>
        <v>1</v>
      </c>
      <c r="S59" s="64" t="n">
        <f aca="false">IF(S58&lt;=0,0,MIN(1,S57/S58))</f>
        <v>1</v>
      </c>
      <c r="T59" s="64" t="n">
        <f aca="false">IF(T58&lt;=0,0,MIN(1,T57/T58))</f>
        <v>1</v>
      </c>
      <c r="U59" s="64" t="n">
        <f aca="false">IF(U58&lt;=0,0,MIN(1,U57/U58))</f>
        <v>1</v>
      </c>
      <c r="V59" s="64" t="n">
        <f aca="false">IF(V58&lt;=0,0,MIN(1,V57/V58))</f>
        <v>1</v>
      </c>
      <c r="W59" s="64" t="n">
        <f aca="false">IF(W58&lt;=0,0,MIN(1,W57/W58))</f>
        <v>1</v>
      </c>
      <c r="X59" s="64" t="n">
        <f aca="false">IF(X58&lt;=0,0,MIN(1,X57/X58))</f>
        <v>1</v>
      </c>
      <c r="Y59" s="64" t="n">
        <f aca="false">IF(Y58&lt;=0,0,MIN(1,Y57/Y58))</f>
        <v>1</v>
      </c>
      <c r="Z59" s="64" t="n">
        <f aca="false">IF(Z58&lt;=0,0,MIN(1,Z57/Z58))</f>
        <v>1</v>
      </c>
      <c r="AA59" s="64" t="n">
        <f aca="false">IF(AA58&lt;=0,0,MIN(1,AA57/AA58))</f>
        <v>1</v>
      </c>
      <c r="AB59" s="64" t="n">
        <f aca="false">IF(AB58&lt;=0,0,MIN(1,AB57/AB58))</f>
        <v>1</v>
      </c>
    </row>
    <row r="60" customFormat="false" ht="15" hidden="false" customHeight="false" outlineLevel="0" collapsed="false">
      <c r="A60" s="29" t="s">
        <v>833</v>
      </c>
      <c r="B60" s="60" t="s">
        <v>834</v>
      </c>
      <c r="C60" s="61" t="n">
        <f aca="false">SUM(E60:P60)</f>
        <v>531099.835</v>
      </c>
      <c r="D60" s="61" t="n">
        <f aca="false">SUM(Q60:AB60)</f>
        <v>0</v>
      </c>
      <c r="E60" s="62" t="n">
        <f aca="false">E10*Engagement_Register!$AD$8*Assumptions!E$194</f>
        <v>45181.99</v>
      </c>
      <c r="F60" s="62" t="n">
        <f aca="false">F10*Engagement_Register!$AD$8*Assumptions!F$194</f>
        <v>49745.43</v>
      </c>
      <c r="G60" s="62" t="n">
        <f aca="false">G10*Engagement_Register!$AD$8*Assumptions!G$194</f>
        <v>57003.66</v>
      </c>
      <c r="H60" s="62" t="n">
        <f aca="false">H10*Engagement_Register!$AD$8*Assumptions!H$194</f>
        <v>57141.35</v>
      </c>
      <c r="I60" s="62" t="n">
        <f aca="false">I10*Engagement_Register!$AD$8*Assumptions!I$194</f>
        <v>49824.11</v>
      </c>
      <c r="J60" s="62" t="n">
        <f aca="false">J10*Engagement_Register!$AD$8*Assumptions!J$194</f>
        <v>65796.15</v>
      </c>
      <c r="K60" s="62" t="n">
        <f aca="false">K10*Engagement_Register!$AD$8*Assumptions!K$194</f>
        <v>71244.74</v>
      </c>
      <c r="L60" s="62" t="n">
        <f aca="false">L10*Engagement_Register!$AD$8*Assumptions!L$194</f>
        <v>58950.99</v>
      </c>
      <c r="M60" s="62" t="n">
        <f aca="false">M10*Engagement_Register!$AD$8*Assumptions!M$194</f>
        <v>76211.415</v>
      </c>
      <c r="N60" s="62" t="n">
        <f aca="false">N10*Engagement_Register!$AD$8*Assumptions!N$194</f>
        <v>0</v>
      </c>
      <c r="O60" s="62" t="n">
        <f aca="false">O10*Engagement_Register!$AD$8*Assumptions!O$194</f>
        <v>0</v>
      </c>
      <c r="P60" s="62" t="n">
        <f aca="false">P10*Engagement_Register!$AD$8*Assumptions!P$194</f>
        <v>0</v>
      </c>
      <c r="Q60" s="62" t="n">
        <f aca="false">Q10*Engagement_Register!$AD$8*Assumptions!Q$194</f>
        <v>0</v>
      </c>
      <c r="R60" s="62" t="n">
        <f aca="false">R10*Engagement_Register!$AD$8*Assumptions!R$194</f>
        <v>0</v>
      </c>
      <c r="S60" s="62" t="n">
        <f aca="false">S10*Engagement_Register!$AD$8*Assumptions!S$194</f>
        <v>0</v>
      </c>
      <c r="T60" s="62" t="n">
        <f aca="false">T10*Engagement_Register!$AD$8*Assumptions!T$194</f>
        <v>0</v>
      </c>
      <c r="U60" s="62" t="n">
        <f aca="false">U10*Engagement_Register!$AD$8*Assumptions!U$194</f>
        <v>0</v>
      </c>
      <c r="V60" s="62" t="n">
        <f aca="false">V10*Engagement_Register!$AD$8*Assumptions!V$194</f>
        <v>0</v>
      </c>
      <c r="W60" s="62" t="n">
        <f aca="false">W10*Engagement_Register!$AD$8*Assumptions!W$194</f>
        <v>0</v>
      </c>
      <c r="X60" s="62" t="n">
        <f aca="false">X10*Engagement_Register!$AD$8*Assumptions!X$194</f>
        <v>0</v>
      </c>
      <c r="Y60" s="62" t="n">
        <f aca="false">Y10*Engagement_Register!$AD$8*Assumptions!Y$194</f>
        <v>0</v>
      </c>
      <c r="Z60" s="62" t="n">
        <f aca="false">Z10*Engagement_Register!$AD$8*Assumptions!Z$194</f>
        <v>0</v>
      </c>
      <c r="AA60" s="62" t="n">
        <f aca="false">AA10*Engagement_Register!$AD$8*Assumptions!AA$194</f>
        <v>0</v>
      </c>
      <c r="AB60" s="62" t="n">
        <f aca="false">AB10*Engagement_Register!$AD$8*Assumptions!AB$194</f>
        <v>0</v>
      </c>
    </row>
    <row r="61" customFormat="false" ht="15" hidden="false" customHeight="false" outlineLevel="0" collapsed="false">
      <c r="A61" s="29" t="s">
        <v>835</v>
      </c>
      <c r="B61" s="60" t="s">
        <v>836</v>
      </c>
      <c r="C61" s="61" t="n">
        <f aca="false">SUM(E61:P61)</f>
        <v>488611.8482</v>
      </c>
      <c r="D61" s="61" t="n">
        <f aca="false">SUM(Q61:AB61)</f>
        <v>0</v>
      </c>
      <c r="E61" s="62" t="n">
        <f aca="false">E10*Engagement_Register!$AE$8*Assumptions!E$194</f>
        <v>41567.4308</v>
      </c>
      <c r="F61" s="62" t="n">
        <f aca="false">F10*Engagement_Register!$AE$8*Assumptions!F$194</f>
        <v>45765.7956</v>
      </c>
      <c r="G61" s="62" t="n">
        <f aca="false">G10*Engagement_Register!$AE$8*Assumptions!G$194</f>
        <v>52443.3672</v>
      </c>
      <c r="H61" s="62" t="n">
        <f aca="false">H10*Engagement_Register!$AE$8*Assumptions!H$194</f>
        <v>52570.042</v>
      </c>
      <c r="I61" s="62" t="n">
        <f aca="false">I10*Engagement_Register!$AE$8*Assumptions!I$194</f>
        <v>45838.1812</v>
      </c>
      <c r="J61" s="62" t="n">
        <f aca="false">J10*Engagement_Register!$AE$8*Assumptions!J$194</f>
        <v>60532.458</v>
      </c>
      <c r="K61" s="62" t="n">
        <f aca="false">K10*Engagement_Register!$AE$8*Assumptions!K$194</f>
        <v>65545.1608</v>
      </c>
      <c r="L61" s="62" t="n">
        <f aca="false">L10*Engagement_Register!$AE$8*Assumptions!L$194</f>
        <v>54234.9108</v>
      </c>
      <c r="M61" s="62" t="n">
        <f aca="false">M10*Engagement_Register!$AE$8*Assumptions!M$194</f>
        <v>70114.5018</v>
      </c>
      <c r="N61" s="62" t="n">
        <f aca="false">N10*Engagement_Register!$AE$8*Assumptions!N$194</f>
        <v>0</v>
      </c>
      <c r="O61" s="62" t="n">
        <f aca="false">O10*Engagement_Register!$AE$8*Assumptions!O$194</f>
        <v>0</v>
      </c>
      <c r="P61" s="62" t="n">
        <f aca="false">P10*Engagement_Register!$AE$8*Assumptions!P$194</f>
        <v>0</v>
      </c>
      <c r="Q61" s="62" t="n">
        <f aca="false">Q10*Engagement_Register!$AE$8*Assumptions!Q$194</f>
        <v>0</v>
      </c>
      <c r="R61" s="62" t="n">
        <f aca="false">R10*Engagement_Register!$AE$8*Assumptions!R$194</f>
        <v>0</v>
      </c>
      <c r="S61" s="62" t="n">
        <f aca="false">S10*Engagement_Register!$AE$8*Assumptions!S$194</f>
        <v>0</v>
      </c>
      <c r="T61" s="62" t="n">
        <f aca="false">T10*Engagement_Register!$AE$8*Assumptions!T$194</f>
        <v>0</v>
      </c>
      <c r="U61" s="62" t="n">
        <f aca="false">U10*Engagement_Register!$AE$8*Assumptions!U$194</f>
        <v>0</v>
      </c>
      <c r="V61" s="62" t="n">
        <f aca="false">V10*Engagement_Register!$AE$8*Assumptions!V$194</f>
        <v>0</v>
      </c>
      <c r="W61" s="62" t="n">
        <f aca="false">W10*Engagement_Register!$AE$8*Assumptions!W$194</f>
        <v>0</v>
      </c>
      <c r="X61" s="62" t="n">
        <f aca="false">X10*Engagement_Register!$AE$8*Assumptions!X$194</f>
        <v>0</v>
      </c>
      <c r="Y61" s="62" t="n">
        <f aca="false">Y10*Engagement_Register!$AE$8*Assumptions!Y$194</f>
        <v>0</v>
      </c>
      <c r="Z61" s="62" t="n">
        <f aca="false">Z10*Engagement_Register!$AE$8*Assumptions!Z$194</f>
        <v>0</v>
      </c>
      <c r="AA61" s="62" t="n">
        <f aca="false">AA10*Engagement_Register!$AE$8*Assumptions!AA$194</f>
        <v>0</v>
      </c>
      <c r="AB61" s="62" t="n">
        <f aca="false">AB10*Engagement_Register!$AE$8*Assumptions!AB$194</f>
        <v>0</v>
      </c>
    </row>
    <row r="62" customFormat="false" ht="15" hidden="false" customHeight="false" outlineLevel="0" collapsed="false">
      <c r="A62" s="29" t="s">
        <v>856</v>
      </c>
      <c r="B62" s="60" t="s">
        <v>857</v>
      </c>
      <c r="C62" s="61" t="n">
        <f aca="false">P62</f>
        <v>662047.7482</v>
      </c>
      <c r="D62" s="61" t="n">
        <f aca="false">AB62</f>
        <v>662047.7482</v>
      </c>
      <c r="E62" s="62" t="n">
        <f aca="false">Engagement_Register!$W$8+E61</f>
        <v>215003.3308</v>
      </c>
      <c r="F62" s="71" t="n">
        <f aca="false">E62+F61</f>
        <v>260769.1264</v>
      </c>
      <c r="G62" s="71" t="n">
        <f aca="false">F62+G61</f>
        <v>313212.4936</v>
      </c>
      <c r="H62" s="71" t="n">
        <f aca="false">G62+H61</f>
        <v>365782.5356</v>
      </c>
      <c r="I62" s="71" t="n">
        <f aca="false">H62+I61</f>
        <v>411620.7168</v>
      </c>
      <c r="J62" s="71" t="n">
        <f aca="false">I62+J61</f>
        <v>472153.1748</v>
      </c>
      <c r="K62" s="71" t="n">
        <f aca="false">J62+K61</f>
        <v>537698.3356</v>
      </c>
      <c r="L62" s="71" t="n">
        <f aca="false">K62+L61</f>
        <v>591933.2464</v>
      </c>
      <c r="M62" s="71" t="n">
        <f aca="false">L62+M61</f>
        <v>662047.7482</v>
      </c>
      <c r="N62" s="71" t="n">
        <f aca="false">M62+N61</f>
        <v>662047.7482</v>
      </c>
      <c r="O62" s="71" t="n">
        <f aca="false">N62+O61</f>
        <v>662047.7482</v>
      </c>
      <c r="P62" s="71" t="n">
        <f aca="false">O62+P61</f>
        <v>662047.7482</v>
      </c>
      <c r="Q62" s="71" t="n">
        <f aca="false">P62+Q61</f>
        <v>662047.7482</v>
      </c>
      <c r="R62" s="71" t="n">
        <f aca="false">Q62+R61</f>
        <v>662047.7482</v>
      </c>
      <c r="S62" s="71" t="n">
        <f aca="false">R62+S61</f>
        <v>662047.7482</v>
      </c>
      <c r="T62" s="71" t="n">
        <f aca="false">S62+T61</f>
        <v>662047.7482</v>
      </c>
      <c r="U62" s="71" t="n">
        <f aca="false">T62+U61</f>
        <v>662047.7482</v>
      </c>
      <c r="V62" s="71" t="n">
        <f aca="false">U62+V61</f>
        <v>662047.7482</v>
      </c>
      <c r="W62" s="71" t="n">
        <f aca="false">V62+W61</f>
        <v>662047.7482</v>
      </c>
      <c r="X62" s="71" t="n">
        <f aca="false">W62+X61</f>
        <v>662047.7482</v>
      </c>
      <c r="Y62" s="71" t="n">
        <f aca="false">X62+Y61</f>
        <v>662047.7482</v>
      </c>
      <c r="Z62" s="71" t="n">
        <f aca="false">Y62+Z61</f>
        <v>662047.7482</v>
      </c>
      <c r="AA62" s="71" t="n">
        <f aca="false">Z62+AA61</f>
        <v>662047.7482</v>
      </c>
      <c r="AB62" s="71" t="n">
        <f aca="false">AA62+AB61</f>
        <v>662047.7482</v>
      </c>
    </row>
    <row r="63" customFormat="false" ht="15" hidden="false" customHeight="false" outlineLevel="0" collapsed="false">
      <c r="A63" s="29" t="s">
        <v>742</v>
      </c>
      <c r="B63" s="60" t="s">
        <v>858</v>
      </c>
      <c r="C63" s="61" t="n">
        <f aca="false">P63</f>
        <v>560000</v>
      </c>
      <c r="D63" s="61" t="n">
        <f aca="false">AB63</f>
        <v>560000</v>
      </c>
      <c r="E63" s="62" t="n">
        <f aca="false">IF(E$5="A",Engagement_Register!$U$8+Inputs_Actuals!E17,IF(Engagement_Register!$AQ$8&gt;Engagement_Register!$AP$8,Engagement_Register!$AP$8*E59,E62))</f>
        <v>215003.33</v>
      </c>
      <c r="F63" s="62" t="n">
        <f aca="false">IF(F$5="A",E63+Inputs_Actuals!F17,IF(Engagement_Register!$AQ$8&gt;Engagement_Register!$AP$8,Engagement_Register!$AP$8*F59,F62))</f>
        <v>252175</v>
      </c>
      <c r="G63" s="62" t="n">
        <f aca="false">IF(G$5="A",F63+Inputs_Actuals!G17,IF(Engagement_Register!$AQ$8&gt;Engagement_Register!$AP$8,Engagement_Register!$AP$8*G59,G62))</f>
        <v>286759.76</v>
      </c>
      <c r="H63" s="62" t="n">
        <f aca="false">IF(H$5="A",G63+Inputs_Actuals!H17,IF(Engagement_Register!$AQ$8&gt;Engagement_Register!$AP$8,Engagement_Register!$AP$8*H59,H62))</f>
        <v>321570.45</v>
      </c>
      <c r="I63" s="62" t="n">
        <f aca="false">IF(I$5="A",H63+Inputs_Actuals!I17,IF(Engagement_Register!$AQ$8&gt;Engagement_Register!$AP$8,Engagement_Register!$AP$8*I59,I62))</f>
        <v>349938.46</v>
      </c>
      <c r="J63" s="62" t="n">
        <f aca="false">IF(J$5="A",I63+Inputs_Actuals!J17,IF(Engagement_Register!$AQ$8&gt;Engagement_Register!$AP$8,Engagement_Register!$AP$8*J59,J62))</f>
        <v>401400</v>
      </c>
      <c r="K63" s="62" t="n">
        <f aca="false">IF(K$5="A",J63+Inputs_Actuals!K17,IF(Engagement_Register!$AQ$8&gt;Engagement_Register!$AP$8,Engagement_Register!$AP$8*K59,K62))</f>
        <v>457123.08</v>
      </c>
      <c r="L63" s="62" t="n">
        <f aca="false">IF(L$5="A",K63+Inputs_Actuals!L17,IF(Engagement_Register!$AQ$8&gt;Engagement_Register!$AP$8,Engagement_Register!$AP$8*L59,L62))</f>
        <v>503230.77</v>
      </c>
      <c r="M63" s="62" t="n">
        <f aca="false">IF(M$5="A",L63+Inputs_Actuals!M17,IF(Engagement_Register!$AQ$8&gt;Engagement_Register!$AP$8,Engagement_Register!$AP$8*M59,M62))</f>
        <v>560000</v>
      </c>
      <c r="N63" s="62" t="n">
        <f aca="false">IF(N$5="A",M63+Inputs_Actuals!N17,IF(Engagement_Register!$AQ$8&gt;Engagement_Register!$AP$8,Engagement_Register!$AP$8*N59,N62))</f>
        <v>560000</v>
      </c>
      <c r="O63" s="62" t="n">
        <f aca="false">IF(O$5="A",N63+Inputs_Actuals!O17,IF(Engagement_Register!$AQ$8&gt;Engagement_Register!$AP$8,Engagement_Register!$AP$8*O59,O62))</f>
        <v>560000</v>
      </c>
      <c r="P63" s="62" t="n">
        <f aca="false">IF(P$5="A",O63+Inputs_Actuals!P17,IF(Engagement_Register!$AQ$8&gt;Engagement_Register!$AP$8,Engagement_Register!$AP$8*P59,P62))</f>
        <v>560000</v>
      </c>
      <c r="Q63" s="62" t="n">
        <f aca="false">IF(Q$5="A",P63+Inputs_Actuals!Q17,IF(Engagement_Register!$AQ$8&gt;Engagement_Register!$AP$8,Engagement_Register!$AP$8*Q59,Q62))</f>
        <v>560000</v>
      </c>
      <c r="R63" s="62" t="n">
        <f aca="false">IF(R$5="A",Q63+Inputs_Actuals!R17,IF(Engagement_Register!$AQ$8&gt;Engagement_Register!$AP$8,Engagement_Register!$AP$8*R59,R62))</f>
        <v>560000</v>
      </c>
      <c r="S63" s="62" t="n">
        <f aca="false">IF(S$5="A",R63+Inputs_Actuals!S17,IF(Engagement_Register!$AQ$8&gt;Engagement_Register!$AP$8,Engagement_Register!$AP$8*S59,S62))</f>
        <v>560000</v>
      </c>
      <c r="T63" s="62" t="n">
        <f aca="false">IF(T$5="A",S63+Inputs_Actuals!T17,IF(Engagement_Register!$AQ$8&gt;Engagement_Register!$AP$8,Engagement_Register!$AP$8*T59,T62))</f>
        <v>560000</v>
      </c>
      <c r="U63" s="62" t="n">
        <f aca="false">IF(U$5="A",T63+Inputs_Actuals!U17,IF(Engagement_Register!$AQ$8&gt;Engagement_Register!$AP$8,Engagement_Register!$AP$8*U59,U62))</f>
        <v>560000</v>
      </c>
      <c r="V63" s="62" t="n">
        <f aca="false">IF(V$5="A",U63+Inputs_Actuals!V17,IF(Engagement_Register!$AQ$8&gt;Engagement_Register!$AP$8,Engagement_Register!$AP$8*V59,V62))</f>
        <v>560000</v>
      </c>
      <c r="W63" s="62" t="n">
        <f aca="false">IF(W$5="A",V63+Inputs_Actuals!W17,IF(Engagement_Register!$AQ$8&gt;Engagement_Register!$AP$8,Engagement_Register!$AP$8*W59,W62))</f>
        <v>560000</v>
      </c>
      <c r="X63" s="62" t="n">
        <f aca="false">IF(X$5="A",W63+Inputs_Actuals!X17,IF(Engagement_Register!$AQ$8&gt;Engagement_Register!$AP$8,Engagement_Register!$AP$8*X59,X62))</f>
        <v>560000</v>
      </c>
      <c r="Y63" s="62" t="n">
        <f aca="false">IF(Y$5="A",X63+Inputs_Actuals!Y17,IF(Engagement_Register!$AQ$8&gt;Engagement_Register!$AP$8,Engagement_Register!$AP$8*Y59,Y62))</f>
        <v>560000</v>
      </c>
      <c r="Z63" s="62" t="n">
        <f aca="false">IF(Z$5="A",Y63+Inputs_Actuals!Z17,IF(Engagement_Register!$AQ$8&gt;Engagement_Register!$AP$8,Engagement_Register!$AP$8*Z59,Z62))</f>
        <v>560000</v>
      </c>
      <c r="AA63" s="62" t="n">
        <f aca="false">IF(AA$5="A",Z63+Inputs_Actuals!AA17,IF(Engagement_Register!$AQ$8&gt;Engagement_Register!$AP$8,Engagement_Register!$AP$8*AA59,AA62))</f>
        <v>560000</v>
      </c>
      <c r="AB63" s="62" t="n">
        <f aca="false">IF(AB$5="A",AA63+Inputs_Actuals!AB17,IF(Engagement_Register!$AQ$8&gt;Engagement_Register!$AP$8,Engagement_Register!$AP$8*AB59,AB62))</f>
        <v>560000</v>
      </c>
    </row>
    <row r="64" customFormat="false" ht="15" hidden="false" customHeight="false" outlineLevel="0" collapsed="false">
      <c r="A64" s="68" t="s">
        <v>349</v>
      </c>
      <c r="B64" s="69" t="s">
        <v>859</v>
      </c>
      <c r="C64" s="70" t="n">
        <f aca="false">SUM(E64:P64)</f>
        <v>386564.1</v>
      </c>
      <c r="D64" s="70" t="n">
        <f aca="false">SUM(Q64:AB64)</f>
        <v>0</v>
      </c>
      <c r="E64" s="74" t="n">
        <f aca="false">E63-Engagement_Register!$U$8</f>
        <v>41567.43</v>
      </c>
      <c r="F64" s="70" t="n">
        <f aca="false">F63-E63</f>
        <v>37171.67</v>
      </c>
      <c r="G64" s="70" t="n">
        <f aca="false">G63-F63</f>
        <v>34584.76</v>
      </c>
      <c r="H64" s="70" t="n">
        <f aca="false">H63-G63</f>
        <v>34810.69</v>
      </c>
      <c r="I64" s="70" t="n">
        <f aca="false">I63-H63</f>
        <v>28368.01</v>
      </c>
      <c r="J64" s="70" t="n">
        <f aca="false">J63-I63</f>
        <v>51461.54</v>
      </c>
      <c r="K64" s="70" t="n">
        <f aca="false">K63-J63</f>
        <v>55723.08</v>
      </c>
      <c r="L64" s="70" t="n">
        <f aca="false">L63-K63</f>
        <v>46107.69</v>
      </c>
      <c r="M64" s="70" t="n">
        <f aca="false">M63-L63</f>
        <v>56769.2299999999</v>
      </c>
      <c r="N64" s="70" t="n">
        <f aca="false">N63-M63</f>
        <v>0</v>
      </c>
      <c r="O64" s="70" t="n">
        <f aca="false">O63-N63</f>
        <v>0</v>
      </c>
      <c r="P64" s="70" t="n">
        <f aca="false">P63-O63</f>
        <v>0</v>
      </c>
      <c r="Q64" s="70" t="n">
        <f aca="false">Q63-P63</f>
        <v>0</v>
      </c>
      <c r="R64" s="70" t="n">
        <f aca="false">R63-Q63</f>
        <v>0</v>
      </c>
      <c r="S64" s="70" t="n">
        <f aca="false">S63-R63</f>
        <v>0</v>
      </c>
      <c r="T64" s="70" t="n">
        <f aca="false">T63-S63</f>
        <v>0</v>
      </c>
      <c r="U64" s="70" t="n">
        <f aca="false">U63-T63</f>
        <v>0</v>
      </c>
      <c r="V64" s="70" t="n">
        <f aca="false">V63-U63</f>
        <v>0</v>
      </c>
      <c r="W64" s="70" t="n">
        <f aca="false">W63-V63</f>
        <v>0</v>
      </c>
      <c r="X64" s="70" t="n">
        <f aca="false">X63-W63</f>
        <v>0</v>
      </c>
      <c r="Y64" s="70" t="n">
        <f aca="false">Y63-X63</f>
        <v>0</v>
      </c>
      <c r="Z64" s="70" t="n">
        <f aca="false">Z63-Y63</f>
        <v>0</v>
      </c>
      <c r="AA64" s="70" t="n">
        <f aca="false">AA63-Z63</f>
        <v>0</v>
      </c>
      <c r="AB64" s="70" t="n">
        <f aca="false">AB63-AA63</f>
        <v>0</v>
      </c>
    </row>
    <row r="65" customFormat="false" ht="15" hidden="false" customHeight="false" outlineLevel="0" collapsed="false">
      <c r="A65" s="29" t="s">
        <v>838</v>
      </c>
      <c r="B65" s="60" t="s">
        <v>860</v>
      </c>
      <c r="C65" s="61" t="n">
        <f aca="false">SUM(E65:P65)</f>
        <v>430610.74</v>
      </c>
      <c r="D65" s="61" t="n">
        <f aca="false">SUM(Q65:AB65)</f>
        <v>0</v>
      </c>
      <c r="E65" s="62" t="n">
        <f aca="false">IF(E$5="A",Inputs_Actuals!E18,MAX(0,MIN(0,Engagement_Register!$AP$8-Engagement_Register!$V$8)))</f>
        <v>44046.64</v>
      </c>
      <c r="F65" s="62" t="n">
        <f aca="false">IF(F$5="A",Inputs_Actuals!F18,MAX(0,MIN(E61,Engagement_Register!$AP$8-E66)))</f>
        <v>41567.43</v>
      </c>
      <c r="G65" s="62" t="n">
        <f aca="false">IF(G$5="A",Inputs_Actuals!G18,MAX(0,MIN(F61,Engagement_Register!$AP$8-F66)))</f>
        <v>45765.8</v>
      </c>
      <c r="H65" s="62" t="n">
        <f aca="false">IF(H$5="A",Inputs_Actuals!H18,MAX(0,MIN(G61,Engagement_Register!$AP$8-G66)))</f>
        <v>52443.37</v>
      </c>
      <c r="I65" s="62" t="n">
        <f aca="false">IF(I$5="A",Inputs_Actuals!I18,MAX(0,MIN(H61,Engagement_Register!$AP$8-H66)))</f>
        <v>52570.04</v>
      </c>
      <c r="J65" s="62" t="n">
        <f aca="false">IF(J$5="A",Inputs_Actuals!J18,MAX(0,MIN(I61,Engagement_Register!$AP$8-I66)))</f>
        <v>45838.18</v>
      </c>
      <c r="K65" s="62" t="n">
        <f aca="false">IF(K$5="A",Inputs_Actuals!K18,MAX(0,MIN(J61,Engagement_Register!$AP$8-J66)))</f>
        <v>60532.46</v>
      </c>
      <c r="L65" s="62" t="n">
        <f aca="false">IF(L$5="A",Inputs_Actuals!L18,MAX(0,MIN(K61,Engagement_Register!$AP$8-K66)))</f>
        <v>65545.16</v>
      </c>
      <c r="M65" s="62" t="n">
        <f aca="false">IF(M$5="A",Inputs_Actuals!M18,MAX(0,MIN(L61,Engagement_Register!$AP$8-L66)))</f>
        <v>22301.66</v>
      </c>
      <c r="N65" s="62" t="n">
        <f aca="false">IF(N$5="A",Inputs_Actuals!N18,MAX(0,MIN(M61,Engagement_Register!$AP$8-M66)))</f>
        <v>0</v>
      </c>
      <c r="O65" s="62" t="n">
        <f aca="false">IF(O$5="A",Inputs_Actuals!O18,MAX(0,MIN(N61,Engagement_Register!$AP$8-N66)))</f>
        <v>0</v>
      </c>
      <c r="P65" s="62" t="n">
        <f aca="false">IF(P$5="A",Inputs_Actuals!P18,MAX(0,MIN(O61,Engagement_Register!$AP$8-O66)))</f>
        <v>0</v>
      </c>
      <c r="Q65" s="62" t="n">
        <f aca="false">IF(Q$5="A",Inputs_Actuals!Q18,MAX(0,MIN(P61,Engagement_Register!$AP$8-P66)))</f>
        <v>0</v>
      </c>
      <c r="R65" s="62" t="n">
        <f aca="false">IF(R$5="A",Inputs_Actuals!R18,MAX(0,MIN(Q61,Engagement_Register!$AP$8-Q66)))</f>
        <v>0</v>
      </c>
      <c r="S65" s="62" t="n">
        <f aca="false">IF(S$5="A",Inputs_Actuals!S18,MAX(0,MIN(R61,Engagement_Register!$AP$8-R66)))</f>
        <v>0</v>
      </c>
      <c r="T65" s="62" t="n">
        <f aca="false">IF(T$5="A",Inputs_Actuals!T18,MAX(0,MIN(S61,Engagement_Register!$AP$8-S66)))</f>
        <v>0</v>
      </c>
      <c r="U65" s="62" t="n">
        <f aca="false">IF(U$5="A",Inputs_Actuals!U18,MAX(0,MIN(T61,Engagement_Register!$AP$8-T66)))</f>
        <v>0</v>
      </c>
      <c r="V65" s="62" t="n">
        <f aca="false">IF(V$5="A",Inputs_Actuals!V18,MAX(0,MIN(U61,Engagement_Register!$AP$8-U66)))</f>
        <v>0</v>
      </c>
      <c r="W65" s="62" t="n">
        <f aca="false">IF(W$5="A",Inputs_Actuals!W18,MAX(0,MIN(V61,Engagement_Register!$AP$8-V66)))</f>
        <v>0</v>
      </c>
      <c r="X65" s="62" t="n">
        <f aca="false">IF(X$5="A",Inputs_Actuals!X18,MAX(0,MIN(W61,Engagement_Register!$AP$8-W66)))</f>
        <v>0</v>
      </c>
      <c r="Y65" s="62" t="n">
        <f aca="false">IF(Y$5="A",Inputs_Actuals!Y18,MAX(0,MIN(X61,Engagement_Register!$AP$8-X66)))</f>
        <v>0</v>
      </c>
      <c r="Z65" s="62" t="n">
        <f aca="false">IF(Z$5="A",Inputs_Actuals!Z18,MAX(0,MIN(Y61,Engagement_Register!$AP$8-Y66)))</f>
        <v>0</v>
      </c>
      <c r="AA65" s="62" t="n">
        <f aca="false">IF(AA$5="A",Inputs_Actuals!AA18,MAX(0,MIN(Z61,Engagement_Register!$AP$8-Z66)))</f>
        <v>0</v>
      </c>
      <c r="AB65" s="62" t="n">
        <f aca="false">IF(AB$5="A",Inputs_Actuals!AB18,MAX(0,MIN(AA61,Engagement_Register!$AP$8-AA66)))</f>
        <v>0</v>
      </c>
    </row>
    <row r="66" customFormat="false" ht="15" hidden="false" customHeight="false" outlineLevel="0" collapsed="false">
      <c r="A66" s="29" t="s">
        <v>840</v>
      </c>
      <c r="B66" s="60"/>
      <c r="C66" s="61" t="n">
        <f aca="false">P66</f>
        <v>560000</v>
      </c>
      <c r="D66" s="61" t="n">
        <f aca="false">AB66</f>
        <v>560000</v>
      </c>
      <c r="E66" s="62" t="n">
        <f aca="false">Engagement_Register!$V$8+E65</f>
        <v>173435.9</v>
      </c>
      <c r="F66" s="71" t="n">
        <f aca="false">E66+F65</f>
        <v>215003.33</v>
      </c>
      <c r="G66" s="71" t="n">
        <f aca="false">F66+G65</f>
        <v>260769.13</v>
      </c>
      <c r="H66" s="71" t="n">
        <f aca="false">G66+H65</f>
        <v>313212.5</v>
      </c>
      <c r="I66" s="71" t="n">
        <f aca="false">H66+I65</f>
        <v>365782.54</v>
      </c>
      <c r="J66" s="71" t="n">
        <f aca="false">I66+J65</f>
        <v>411620.72</v>
      </c>
      <c r="K66" s="71" t="n">
        <f aca="false">J66+K65</f>
        <v>472153.18</v>
      </c>
      <c r="L66" s="71" t="n">
        <f aca="false">K66+L65</f>
        <v>537698.34</v>
      </c>
      <c r="M66" s="71" t="n">
        <f aca="false">L66+M65</f>
        <v>560000</v>
      </c>
      <c r="N66" s="71" t="n">
        <f aca="false">M66+N65</f>
        <v>560000</v>
      </c>
      <c r="O66" s="71" t="n">
        <f aca="false">N66+O65</f>
        <v>560000</v>
      </c>
      <c r="P66" s="71" t="n">
        <f aca="false">O66+P65</f>
        <v>560000</v>
      </c>
      <c r="Q66" s="71" t="n">
        <f aca="false">P66+Q65</f>
        <v>560000</v>
      </c>
      <c r="R66" s="71" t="n">
        <f aca="false">Q66+R65</f>
        <v>560000</v>
      </c>
      <c r="S66" s="71" t="n">
        <f aca="false">R66+S65</f>
        <v>560000</v>
      </c>
      <c r="T66" s="71" t="n">
        <f aca="false">S66+T65</f>
        <v>560000</v>
      </c>
      <c r="U66" s="71" t="n">
        <f aca="false">T66+U65</f>
        <v>560000</v>
      </c>
      <c r="V66" s="71" t="n">
        <f aca="false">U66+V65</f>
        <v>560000</v>
      </c>
      <c r="W66" s="71" t="n">
        <f aca="false">V66+W65</f>
        <v>560000</v>
      </c>
      <c r="X66" s="71" t="n">
        <f aca="false">W66+X65</f>
        <v>560000</v>
      </c>
      <c r="Y66" s="71" t="n">
        <f aca="false">X66+Y65</f>
        <v>560000</v>
      </c>
      <c r="Z66" s="71" t="n">
        <f aca="false">Y66+Z65</f>
        <v>560000</v>
      </c>
      <c r="AA66" s="71" t="n">
        <f aca="false">Z66+AA65</f>
        <v>560000</v>
      </c>
      <c r="AB66" s="71" t="n">
        <f aca="false">AA66+AB65</f>
        <v>560000</v>
      </c>
    </row>
    <row r="67" customFormat="false" ht="15" hidden="false" customHeight="false" outlineLevel="0" collapsed="false">
      <c r="A67" s="29" t="s">
        <v>841</v>
      </c>
      <c r="B67" s="60" t="s">
        <v>842</v>
      </c>
      <c r="C67" s="61" t="n">
        <f aca="false">SUM(E67:P67)</f>
        <v>45286.44</v>
      </c>
      <c r="D67" s="61" t="n">
        <f aca="false">SUM(Q67:AB67)</f>
        <v>0</v>
      </c>
      <c r="E67" s="62" t="n">
        <f aca="false">IF(E$5="A",Inputs_Actuals!E19,E10*Engagement_Register!$N$8*Assumptions!E$195)</f>
        <v>3226.3</v>
      </c>
      <c r="F67" s="62" t="n">
        <f aca="false">IF(F$5="A",Inputs_Actuals!F19,F10*Engagement_Register!$N$8*Assumptions!F$195)</f>
        <v>5065.99</v>
      </c>
      <c r="G67" s="62" t="n">
        <f aca="false">IF(G$5="A",Inputs_Actuals!G19,G10*Engagement_Register!$N$8*Assumptions!G$195)</f>
        <v>3593.13</v>
      </c>
      <c r="H67" s="62" t="n">
        <f aca="false">IF(H$5="A",Inputs_Actuals!H19,H10*Engagement_Register!$N$8*Assumptions!H$195)</f>
        <v>4828.71</v>
      </c>
      <c r="I67" s="62" t="n">
        <f aca="false">IF(I$5="A",Inputs_Actuals!I19,I10*Engagement_Register!$N$8*Assumptions!I$195)</f>
        <v>4819.69</v>
      </c>
      <c r="J67" s="62" t="n">
        <f aca="false">IF(J$5="A",Inputs_Actuals!J19,J10*Engagement_Register!$N$8*Assumptions!J$195)</f>
        <v>5835.95</v>
      </c>
      <c r="K67" s="62" t="n">
        <f aca="false">IF(K$5="A",Inputs_Actuals!K19,K10*Engagement_Register!$N$8*Assumptions!K$195)</f>
        <v>7027.99</v>
      </c>
      <c r="L67" s="62" t="n">
        <f aca="false">IF(L$5="A",Inputs_Actuals!L19,L10*Engagement_Register!$N$8*Assumptions!L$195)</f>
        <v>4689.48</v>
      </c>
      <c r="M67" s="62" t="n">
        <f aca="false">IF(M$5="A",Inputs_Actuals!M19,M10*Engagement_Register!$N$8*Assumptions!M$195)</f>
        <v>6199.2</v>
      </c>
      <c r="N67" s="62" t="n">
        <f aca="false">IF(N$5="A",Inputs_Actuals!N19,N10*Engagement_Register!$N$8*Assumptions!N$195)</f>
        <v>0</v>
      </c>
      <c r="O67" s="62" t="n">
        <f aca="false">IF(O$5="A",Inputs_Actuals!O19,O10*Engagement_Register!$N$8*Assumptions!O$195)</f>
        <v>0</v>
      </c>
      <c r="P67" s="62" t="n">
        <f aca="false">IF(P$5="A",Inputs_Actuals!P19,P10*Engagement_Register!$N$8*Assumptions!P$195)</f>
        <v>0</v>
      </c>
      <c r="Q67" s="62" t="n">
        <f aca="false">IF(Q$5="A",Inputs_Actuals!Q19,Q10*Engagement_Register!$N$8*Assumptions!Q$195)</f>
        <v>0</v>
      </c>
      <c r="R67" s="62" t="n">
        <f aca="false">IF(R$5="A",Inputs_Actuals!R19,R10*Engagement_Register!$N$8*Assumptions!R$195)</f>
        <v>0</v>
      </c>
      <c r="S67" s="62" t="n">
        <f aca="false">IF(S$5="A",Inputs_Actuals!S19,S10*Engagement_Register!$N$8*Assumptions!S$195)</f>
        <v>0</v>
      </c>
      <c r="T67" s="62" t="n">
        <f aca="false">IF(T$5="A",Inputs_Actuals!T19,T10*Engagement_Register!$N$8*Assumptions!T$195)</f>
        <v>0</v>
      </c>
      <c r="U67" s="62" t="n">
        <f aca="false">IF(U$5="A",Inputs_Actuals!U19,U10*Engagement_Register!$N$8*Assumptions!U$195)</f>
        <v>0</v>
      </c>
      <c r="V67" s="62" t="n">
        <f aca="false">IF(V$5="A",Inputs_Actuals!V19,V10*Engagement_Register!$N$8*Assumptions!V$195)</f>
        <v>0</v>
      </c>
      <c r="W67" s="62" t="n">
        <f aca="false">IF(W$5="A",Inputs_Actuals!W19,W10*Engagement_Register!$N$8*Assumptions!W$195)</f>
        <v>0</v>
      </c>
      <c r="X67" s="62" t="n">
        <f aca="false">IF(X$5="A",Inputs_Actuals!X19,X10*Engagement_Register!$N$8*Assumptions!X$195)</f>
        <v>0</v>
      </c>
      <c r="Y67" s="62" t="n">
        <f aca="false">IF(Y$5="A",Inputs_Actuals!Y19,Y10*Engagement_Register!$N$8*Assumptions!Y$195)</f>
        <v>0</v>
      </c>
      <c r="Z67" s="62" t="n">
        <f aca="false">IF(Z$5="A",Inputs_Actuals!Z19,Z10*Engagement_Register!$N$8*Assumptions!Z$195)</f>
        <v>0</v>
      </c>
      <c r="AA67" s="62" t="n">
        <f aca="false">IF(AA$5="A",Inputs_Actuals!AA19,AA10*Engagement_Register!$N$8*Assumptions!AA$195)</f>
        <v>0</v>
      </c>
      <c r="AB67" s="62" t="n">
        <f aca="false">IF(AB$5="A",Inputs_Actuals!AB19,AB10*Engagement_Register!$N$8*Assumptions!AB$195)</f>
        <v>0</v>
      </c>
    </row>
    <row r="68" customFormat="false" ht="15" hidden="false" customHeight="false" outlineLevel="0" collapsed="false">
      <c r="A68" s="29" t="s">
        <v>843</v>
      </c>
      <c r="B68" s="60" t="s">
        <v>844</v>
      </c>
      <c r="C68" s="61" t="n">
        <f aca="false">SUM(E68:P68)</f>
        <v>45286.44</v>
      </c>
      <c r="D68" s="61" t="n">
        <f aca="false">SUM(Q68:AB68)</f>
        <v>0</v>
      </c>
      <c r="E68" s="71" t="n">
        <f aca="false">E67</f>
        <v>3226.3</v>
      </c>
      <c r="F68" s="71" t="n">
        <f aca="false">F67</f>
        <v>5065.99</v>
      </c>
      <c r="G68" s="71" t="n">
        <f aca="false">G67</f>
        <v>3593.13</v>
      </c>
      <c r="H68" s="71" t="n">
        <f aca="false">H67</f>
        <v>4828.71</v>
      </c>
      <c r="I68" s="71" t="n">
        <f aca="false">I67</f>
        <v>4819.69</v>
      </c>
      <c r="J68" s="71" t="n">
        <f aca="false">J67</f>
        <v>5835.95</v>
      </c>
      <c r="K68" s="71" t="n">
        <f aca="false">K67</f>
        <v>7027.99</v>
      </c>
      <c r="L68" s="71" t="n">
        <f aca="false">L67</f>
        <v>4689.48</v>
      </c>
      <c r="M68" s="71" t="n">
        <f aca="false">M67</f>
        <v>6199.2</v>
      </c>
      <c r="N68" s="71" t="n">
        <f aca="false">N67</f>
        <v>0</v>
      </c>
      <c r="O68" s="71" t="n">
        <f aca="false">O67</f>
        <v>0</v>
      </c>
      <c r="P68" s="71" t="n">
        <f aca="false">P67</f>
        <v>0</v>
      </c>
      <c r="Q68" s="71" t="n">
        <f aca="false">Q67</f>
        <v>0</v>
      </c>
      <c r="R68" s="71" t="n">
        <f aca="false">R67</f>
        <v>0</v>
      </c>
      <c r="S68" s="71" t="n">
        <f aca="false">S67</f>
        <v>0</v>
      </c>
      <c r="T68" s="71" t="n">
        <f aca="false">T67</f>
        <v>0</v>
      </c>
      <c r="U68" s="71" t="n">
        <f aca="false">U67</f>
        <v>0</v>
      </c>
      <c r="V68" s="71" t="n">
        <f aca="false">V67</f>
        <v>0</v>
      </c>
      <c r="W68" s="71" t="n">
        <f aca="false">W67</f>
        <v>0</v>
      </c>
      <c r="X68" s="71" t="n">
        <f aca="false">X67</f>
        <v>0</v>
      </c>
      <c r="Y68" s="71" t="n">
        <f aca="false">Y67</f>
        <v>0</v>
      </c>
      <c r="Z68" s="71" t="n">
        <f aca="false">Z67</f>
        <v>0</v>
      </c>
      <c r="AA68" s="71" t="n">
        <f aca="false">AA67</f>
        <v>0</v>
      </c>
      <c r="AB68" s="71" t="n">
        <f aca="false">AB67</f>
        <v>0</v>
      </c>
    </row>
    <row r="69" customFormat="false" ht="15" hidden="false" customHeight="false" outlineLevel="0" collapsed="false">
      <c r="A69" s="29" t="s">
        <v>845</v>
      </c>
      <c r="B69" s="60" t="s">
        <v>846</v>
      </c>
      <c r="C69" s="61" t="n">
        <f aca="false">SUM(E69:P69)</f>
        <v>49657.6</v>
      </c>
      <c r="D69" s="61" t="n">
        <f aca="false">SUM(Q69:AB69)</f>
        <v>0</v>
      </c>
      <c r="E69" s="62" t="n">
        <f aca="false">IF(E$5="A",Inputs_Actuals!E20,0)</f>
        <v>4371.16</v>
      </c>
      <c r="F69" s="62" t="n">
        <f aca="false">IF(F$5="A",Inputs_Actuals!F20,E68)</f>
        <v>3226.3</v>
      </c>
      <c r="G69" s="62" t="n">
        <f aca="false">IF(G$5="A",Inputs_Actuals!G20,F68)</f>
        <v>5065.99</v>
      </c>
      <c r="H69" s="62" t="n">
        <f aca="false">IF(H$5="A",Inputs_Actuals!H20,G68)</f>
        <v>3593.13</v>
      </c>
      <c r="I69" s="62" t="n">
        <f aca="false">IF(I$5="A",Inputs_Actuals!I20,H68)</f>
        <v>4828.71</v>
      </c>
      <c r="J69" s="62" t="n">
        <f aca="false">IF(J$5="A",Inputs_Actuals!J20,I68)</f>
        <v>4819.69</v>
      </c>
      <c r="K69" s="62" t="n">
        <f aca="false">IF(K$5="A",Inputs_Actuals!K20,J68)</f>
        <v>5835.95</v>
      </c>
      <c r="L69" s="62" t="n">
        <f aca="false">IF(L$5="A",Inputs_Actuals!L20,K68)</f>
        <v>7027.99</v>
      </c>
      <c r="M69" s="62" t="n">
        <f aca="false">IF(M$5="A",Inputs_Actuals!M20,L68)</f>
        <v>4689.48</v>
      </c>
      <c r="N69" s="62" t="n">
        <f aca="false">IF(N$5="A",Inputs_Actuals!N20,M68)</f>
        <v>6199.2</v>
      </c>
      <c r="O69" s="62" t="n">
        <f aca="false">IF(O$5="A",Inputs_Actuals!O20,N68)</f>
        <v>0</v>
      </c>
      <c r="P69" s="62" t="n">
        <f aca="false">IF(P$5="A",Inputs_Actuals!P20,O68)</f>
        <v>0</v>
      </c>
      <c r="Q69" s="62" t="n">
        <f aca="false">IF(Q$5="A",Inputs_Actuals!Q20,P68)</f>
        <v>0</v>
      </c>
      <c r="R69" s="62" t="n">
        <f aca="false">IF(R$5="A",Inputs_Actuals!R20,Q68)</f>
        <v>0</v>
      </c>
      <c r="S69" s="62" t="n">
        <f aca="false">IF(S$5="A",Inputs_Actuals!S20,R68)</f>
        <v>0</v>
      </c>
      <c r="T69" s="62" t="n">
        <f aca="false">IF(T$5="A",Inputs_Actuals!T20,S68)</f>
        <v>0</v>
      </c>
      <c r="U69" s="62" t="n">
        <f aca="false">IF(U$5="A",Inputs_Actuals!U20,T68)</f>
        <v>0</v>
      </c>
      <c r="V69" s="62" t="n">
        <f aca="false">IF(V$5="A",Inputs_Actuals!V20,U68)</f>
        <v>0</v>
      </c>
      <c r="W69" s="62" t="n">
        <f aca="false">IF(W$5="A",Inputs_Actuals!W20,V68)</f>
        <v>0</v>
      </c>
      <c r="X69" s="62" t="n">
        <f aca="false">IF(X$5="A",Inputs_Actuals!X20,W68)</f>
        <v>0</v>
      </c>
      <c r="Y69" s="62" t="n">
        <f aca="false">IF(Y$5="A",Inputs_Actuals!Y20,X68)</f>
        <v>0</v>
      </c>
      <c r="Z69" s="62" t="n">
        <f aca="false">IF(Z$5="A",Inputs_Actuals!Z20,Y68)</f>
        <v>0</v>
      </c>
      <c r="AA69" s="62" t="n">
        <f aca="false">IF(AA$5="A",Inputs_Actuals!AA20,Z68)</f>
        <v>0</v>
      </c>
      <c r="AB69" s="62" t="n">
        <f aca="false">IF(AB$5="A",Inputs_Actuals!AB20,AA68)</f>
        <v>0</v>
      </c>
    </row>
    <row r="70" customFormat="false" ht="15" hidden="false" customHeight="false" outlineLevel="0" collapsed="false">
      <c r="A70" s="29" t="s">
        <v>847</v>
      </c>
      <c r="B70" s="60" t="s">
        <v>848</v>
      </c>
      <c r="C70" s="61" t="n">
        <f aca="false">P70</f>
        <v>-1.56433088704944E-010</v>
      </c>
      <c r="D70" s="61" t="n">
        <f aca="false">AB70</f>
        <v>-1.56433088704944E-010</v>
      </c>
      <c r="E70" s="62" t="n">
        <f aca="false">Engagement_Register!$X$8+E64+E68-E69-E65</f>
        <v>44793.73</v>
      </c>
      <c r="F70" s="71" t="n">
        <f aca="false">E70+F64+F68-F69-F65</f>
        <v>42237.66</v>
      </c>
      <c r="G70" s="71" t="n">
        <f aca="false">F70+G64+G68-G69-G65</f>
        <v>29583.76</v>
      </c>
      <c r="H70" s="71" t="n">
        <f aca="false">G70+H64+H68-H69-H65</f>
        <v>13186.66</v>
      </c>
      <c r="I70" s="71" t="n">
        <f aca="false">H70+I64+I68-I69-I65</f>
        <v>-11024.39</v>
      </c>
      <c r="J70" s="71" t="n">
        <f aca="false">I70+J64+J68-J69-J65</f>
        <v>-4384.77</v>
      </c>
      <c r="K70" s="71" t="n">
        <f aca="false">J70+K64+K68-K69-K65</f>
        <v>-8002.10999999999</v>
      </c>
      <c r="L70" s="71" t="n">
        <f aca="false">K70+L64+L68-L69-L65</f>
        <v>-29778.09</v>
      </c>
      <c r="M70" s="71" t="n">
        <f aca="false">L70+M64+M68-M69-M65</f>
        <v>6199.19999999984</v>
      </c>
      <c r="N70" s="71" t="n">
        <f aca="false">M70+N64+N68-N69-N65</f>
        <v>-1.56433088704944E-010</v>
      </c>
      <c r="O70" s="71" t="n">
        <f aca="false">N70+O64+O68-O69-O65</f>
        <v>-1.56433088704944E-010</v>
      </c>
      <c r="P70" s="71" t="n">
        <f aca="false">O70+P64+P68-P69-P65</f>
        <v>-1.56433088704944E-010</v>
      </c>
      <c r="Q70" s="71" t="n">
        <f aca="false">P70+Q64+Q68-Q69-Q65</f>
        <v>-1.56433088704944E-010</v>
      </c>
      <c r="R70" s="71" t="n">
        <f aca="false">Q70+R64+R68-R69-R65</f>
        <v>-1.56433088704944E-010</v>
      </c>
      <c r="S70" s="71" t="n">
        <f aca="false">R70+S64+S68-S69-S65</f>
        <v>-1.56433088704944E-010</v>
      </c>
      <c r="T70" s="71" t="n">
        <f aca="false">S70+T64+T68-T69-T65</f>
        <v>-1.56433088704944E-010</v>
      </c>
      <c r="U70" s="71" t="n">
        <f aca="false">T70+U64+U68-U69-U65</f>
        <v>-1.56433088704944E-010</v>
      </c>
      <c r="V70" s="71" t="n">
        <f aca="false">U70+V64+V68-V69-V65</f>
        <v>-1.56433088704944E-010</v>
      </c>
      <c r="W70" s="71" t="n">
        <f aca="false">V70+W64+W68-W69-W65</f>
        <v>-1.56433088704944E-010</v>
      </c>
      <c r="X70" s="71" t="n">
        <f aca="false">W70+X64+X68-X69-X65</f>
        <v>-1.56433088704944E-010</v>
      </c>
      <c r="Y70" s="71" t="n">
        <f aca="false">X70+Y64+Y68-Y69-Y65</f>
        <v>-1.56433088704944E-010</v>
      </c>
      <c r="Z70" s="71" t="n">
        <f aca="false">Y70+Z64+Z68-Z69-Z65</f>
        <v>-1.56433088704944E-010</v>
      </c>
      <c r="AA70" s="71" t="n">
        <f aca="false">Z70+AA64+AA68-AA69-AA65</f>
        <v>-1.56433088704944E-010</v>
      </c>
      <c r="AB70" s="71" t="n">
        <f aca="false">AA70+AB64+AB68-AB69-AB65</f>
        <v>-1.56433088704944E-010</v>
      </c>
    </row>
    <row r="71" customFormat="false" ht="15" hidden="false" customHeight="false" outlineLevel="0" collapsed="false">
      <c r="A71" s="29" t="s">
        <v>849</v>
      </c>
      <c r="B71" s="60" t="s">
        <v>850</v>
      </c>
      <c r="C71" s="61" t="n">
        <f aca="false">P71</f>
        <v>0</v>
      </c>
      <c r="D71" s="61" t="n">
        <f aca="false">AB71</f>
        <v>0</v>
      </c>
      <c r="E71" s="62" t="n">
        <f aca="false">MAX(0,Engagement_Register!$AP$8-E63)</f>
        <v>344996.67</v>
      </c>
      <c r="F71" s="62" t="n">
        <f aca="false">MAX(0,Engagement_Register!$AP$8-F63)</f>
        <v>307825</v>
      </c>
      <c r="G71" s="62" t="n">
        <f aca="false">MAX(0,Engagement_Register!$AP$8-G63)</f>
        <v>273240.24</v>
      </c>
      <c r="H71" s="62" t="n">
        <f aca="false">MAX(0,Engagement_Register!$AP$8-H63)</f>
        <v>238429.55</v>
      </c>
      <c r="I71" s="62" t="n">
        <f aca="false">MAX(0,Engagement_Register!$AP$8-I63)</f>
        <v>210061.54</v>
      </c>
      <c r="J71" s="62" t="n">
        <f aca="false">MAX(0,Engagement_Register!$AP$8-J63)</f>
        <v>158600</v>
      </c>
      <c r="K71" s="62" t="n">
        <f aca="false">MAX(0,Engagement_Register!$AP$8-K63)</f>
        <v>102876.92</v>
      </c>
      <c r="L71" s="62" t="n">
        <f aca="false">MAX(0,Engagement_Register!$AP$8-L63)</f>
        <v>56769.23</v>
      </c>
      <c r="M71" s="62" t="n">
        <f aca="false">MAX(0,Engagement_Register!$AP$8-M63)</f>
        <v>0</v>
      </c>
      <c r="N71" s="62" t="n">
        <f aca="false">MAX(0,Engagement_Register!$AP$8-N63)</f>
        <v>0</v>
      </c>
      <c r="O71" s="62" t="n">
        <f aca="false">MAX(0,Engagement_Register!$AP$8-O63)</f>
        <v>0</v>
      </c>
      <c r="P71" s="62" t="n">
        <f aca="false">MAX(0,Engagement_Register!$AP$8-P63)</f>
        <v>0</v>
      </c>
      <c r="Q71" s="62" t="n">
        <f aca="false">MAX(0,Engagement_Register!$AP$8-Q63)</f>
        <v>0</v>
      </c>
      <c r="R71" s="62" t="n">
        <f aca="false">MAX(0,Engagement_Register!$AP$8-R63)</f>
        <v>0</v>
      </c>
      <c r="S71" s="62" t="n">
        <f aca="false">MAX(0,Engagement_Register!$AP$8-S63)</f>
        <v>0</v>
      </c>
      <c r="T71" s="62" t="n">
        <f aca="false">MAX(0,Engagement_Register!$AP$8-T63)</f>
        <v>0</v>
      </c>
      <c r="U71" s="62" t="n">
        <f aca="false">MAX(0,Engagement_Register!$AP$8-U63)</f>
        <v>0</v>
      </c>
      <c r="V71" s="62" t="n">
        <f aca="false">MAX(0,Engagement_Register!$AP$8-V63)</f>
        <v>0</v>
      </c>
      <c r="W71" s="62" t="n">
        <f aca="false">MAX(0,Engagement_Register!$AP$8-W63)</f>
        <v>0</v>
      </c>
      <c r="X71" s="62" t="n">
        <f aca="false">MAX(0,Engagement_Register!$AP$8-X63)</f>
        <v>0</v>
      </c>
      <c r="Y71" s="62" t="n">
        <f aca="false">MAX(0,Engagement_Register!$AP$8-Y63)</f>
        <v>0</v>
      </c>
      <c r="Z71" s="62" t="n">
        <f aca="false">MAX(0,Engagement_Register!$AP$8-Z63)</f>
        <v>0</v>
      </c>
      <c r="AA71" s="62" t="n">
        <f aca="false">MAX(0,Engagement_Register!$AP$8-AA63)</f>
        <v>0</v>
      </c>
      <c r="AB71" s="62" t="n">
        <f aca="false">MAX(0,Engagement_Register!$AP$8-AB63)</f>
        <v>0</v>
      </c>
    </row>
    <row r="72" customFormat="false" ht="15" hidden="false" customHeight="false" outlineLevel="0" collapsed="false">
      <c r="A72" s="29" t="s">
        <v>861</v>
      </c>
      <c r="B72" s="60" t="s">
        <v>862</v>
      </c>
      <c r="E72" s="62" t="n">
        <f aca="false">IF(E$5="A",ROUND(E63-IF(E62+(E58-E57)*Engagement_Register!$AE$8&gt;Engagement_Register!$AP$8,Engagement_Register!$AP$8*E59,E62),0),0)</f>
        <v>-0</v>
      </c>
      <c r="F72" s="62" t="n">
        <f aca="false">IF(F$5="A",ROUND(F63-IF(F62+(F58-F57)*Engagement_Register!$AE$8&gt;Engagement_Register!$AP$8,Engagement_Register!$AP$8*F59,F62),0),0)</f>
        <v>0</v>
      </c>
      <c r="G72" s="62" t="n">
        <f aca="false">IF(G$5="A",ROUND(G63-IF(G62+(G58-G57)*Engagement_Register!$AE$8&gt;Engagement_Register!$AP$8,Engagement_Register!$AP$8*G59,G62),0),0)</f>
        <v>-0</v>
      </c>
      <c r="H72" s="62" t="n">
        <f aca="false">IF(H$5="A",ROUND(H63-IF(H62+(H58-H57)*Engagement_Register!$AE$8&gt;Engagement_Register!$AP$8,Engagement_Register!$AP$8*H59,H62),0),0)</f>
        <v>-0</v>
      </c>
      <c r="I72" s="62" t="n">
        <f aca="false">IF(I$5="A",ROUND(I63-IF(I62+(I58-I57)*Engagement_Register!$AE$8&gt;Engagement_Register!$AP$8,Engagement_Register!$AP$8*I59,I62),0),0)</f>
        <v>-0</v>
      </c>
      <c r="J72" s="62" t="n">
        <f aca="false">IF(J$5="A",ROUND(J63-IF(J62+(J58-J57)*Engagement_Register!$AE$8&gt;Engagement_Register!$AP$8,Engagement_Register!$AP$8*J59,J62),0),0)</f>
        <v>0</v>
      </c>
      <c r="K72" s="62" t="n">
        <f aca="false">IF(K$5="A",ROUND(K63-IF(K62+(K58-K57)*Engagement_Register!$AE$8&gt;Engagement_Register!$AP$8,Engagement_Register!$AP$8*K59,K62),0),0)</f>
        <v>0</v>
      </c>
      <c r="L72" s="62" t="n">
        <f aca="false">IF(L$5="A",ROUND(L63-IF(L62+(L58-L57)*Engagement_Register!$AE$8&gt;Engagement_Register!$AP$8,Engagement_Register!$AP$8*L59,L62),0),0)</f>
        <v>0</v>
      </c>
      <c r="M72" s="62" t="n">
        <f aca="false">IF(M$5="A",ROUND(M63-IF(M62+(M58-M57)*Engagement_Register!$AE$8&gt;Engagement_Register!$AP$8,Engagement_Register!$AP$8*M59,M62),0),0)</f>
        <v>0</v>
      </c>
      <c r="N72" s="62" t="n">
        <f aca="false">IF(N$5="A",ROUND(N63-IF(N62+(N58-N57)*Engagement_Register!$AE$8&gt;Engagement_Register!$AP$8,Engagement_Register!$AP$8*N59,N62),0),0)</f>
        <v>0</v>
      </c>
      <c r="O72" s="62" t="n">
        <f aca="false">IF(O$5="A",ROUND(O63-IF(O62+(O58-O57)*Engagement_Register!$AE$8&gt;Engagement_Register!$AP$8,Engagement_Register!$AP$8*O59,O62),0),0)</f>
        <v>0</v>
      </c>
      <c r="P72" s="62" t="n">
        <f aca="false">IF(P$5="A",ROUND(P63-IF(P62+(P58-P57)*Engagement_Register!$AE$8&gt;Engagement_Register!$AP$8,Engagement_Register!$AP$8*P59,P62),0),0)</f>
        <v>0</v>
      </c>
      <c r="Q72" s="62" t="n">
        <f aca="false">IF(Q$5="A",ROUND(Q63-IF(Q62+(Q58-Q57)*Engagement_Register!$AE$8&gt;Engagement_Register!$AP$8,Engagement_Register!$AP$8*Q59,Q62),0),0)</f>
        <v>0</v>
      </c>
      <c r="R72" s="62" t="n">
        <f aca="false">IF(R$5="A",ROUND(R63-IF(R62+(R58-R57)*Engagement_Register!$AE$8&gt;Engagement_Register!$AP$8,Engagement_Register!$AP$8*R59,R62),0),0)</f>
        <v>0</v>
      </c>
      <c r="S72" s="62" t="n">
        <f aca="false">IF(S$5="A",ROUND(S63-IF(S62+(S58-S57)*Engagement_Register!$AE$8&gt;Engagement_Register!$AP$8,Engagement_Register!$AP$8*S59,S62),0),0)</f>
        <v>0</v>
      </c>
      <c r="T72" s="62" t="n">
        <f aca="false">IF(T$5="A",ROUND(T63-IF(T62+(T58-T57)*Engagement_Register!$AE$8&gt;Engagement_Register!$AP$8,Engagement_Register!$AP$8*T59,T62),0),0)</f>
        <v>0</v>
      </c>
      <c r="U72" s="62" t="n">
        <f aca="false">IF(U$5="A",ROUND(U63-IF(U62+(U58-U57)*Engagement_Register!$AE$8&gt;Engagement_Register!$AP$8,Engagement_Register!$AP$8*U59,U62),0),0)</f>
        <v>0</v>
      </c>
      <c r="V72" s="62" t="n">
        <f aca="false">IF(V$5="A",ROUND(V63-IF(V62+(V58-V57)*Engagement_Register!$AE$8&gt;Engagement_Register!$AP$8,Engagement_Register!$AP$8*V59,V62),0),0)</f>
        <v>0</v>
      </c>
      <c r="W72" s="62" t="n">
        <f aca="false">IF(W$5="A",ROUND(W63-IF(W62+(W58-W57)*Engagement_Register!$AE$8&gt;Engagement_Register!$AP$8,Engagement_Register!$AP$8*W59,W62),0),0)</f>
        <v>0</v>
      </c>
      <c r="X72" s="62" t="n">
        <f aca="false">IF(X$5="A",ROUND(X63-IF(X62+(X58-X57)*Engagement_Register!$AE$8&gt;Engagement_Register!$AP$8,Engagement_Register!$AP$8*X59,X62),0),0)</f>
        <v>0</v>
      </c>
      <c r="Y72" s="62" t="n">
        <f aca="false">IF(Y$5="A",ROUND(Y63-IF(Y62+(Y58-Y57)*Engagement_Register!$AE$8&gt;Engagement_Register!$AP$8,Engagement_Register!$AP$8*Y59,Y62),0),0)</f>
        <v>0</v>
      </c>
      <c r="Z72" s="62" t="n">
        <f aca="false">IF(Z$5="A",ROUND(Z63-IF(Z62+(Z58-Z57)*Engagement_Register!$AE$8&gt;Engagement_Register!$AP$8,Engagement_Register!$AP$8*Z59,Z62),0),0)</f>
        <v>0</v>
      </c>
      <c r="AA72" s="62" t="n">
        <f aca="false">IF(AA$5="A",ROUND(AA63-IF(AA62+(AA58-AA57)*Engagement_Register!$AE$8&gt;Engagement_Register!$AP$8,Engagement_Register!$AP$8*AA59,AA62),0),0)</f>
        <v>0</v>
      </c>
      <c r="AB72" s="62" t="n">
        <f aca="false">IF(AB$5="A",ROUND(AB63-IF(AB62+(AB58-AB57)*Engagement_Register!$AE$8&gt;Engagement_Register!$AP$8,Engagement_Register!$AP$8*AB59,AB62),0),0)</f>
        <v>0</v>
      </c>
    </row>
    <row r="74" customFormat="false" ht="15" hidden="false" customHeight="false" outlineLevel="0" collapsed="false">
      <c r="A74" s="23" t="s">
        <v>863</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row>
    <row r="75" customFormat="false" ht="15" hidden="false" customHeight="false" outlineLevel="0" collapsed="false">
      <c r="A75" s="29" t="s">
        <v>736</v>
      </c>
      <c r="B75" s="60" t="s">
        <v>832</v>
      </c>
      <c r="C75" s="66" t="n">
        <f aca="false">P75</f>
        <v>5053.1</v>
      </c>
      <c r="D75" s="66" t="n">
        <f aca="false">AB75</f>
        <v>5053.1</v>
      </c>
      <c r="E75" s="67" t="n">
        <f aca="false">Engagement_Register!$T$9+E11</f>
        <v>2611.4</v>
      </c>
      <c r="F75" s="72" t="n">
        <f aca="false">E75+F11</f>
        <v>3097.8</v>
      </c>
      <c r="G75" s="72" t="n">
        <f aca="false">F75+G11</f>
        <v>3611.2</v>
      </c>
      <c r="H75" s="72" t="n">
        <f aca="false">G75+H11</f>
        <v>4109</v>
      </c>
      <c r="I75" s="72" t="n">
        <f aca="false">H75+I11</f>
        <v>4524.3</v>
      </c>
      <c r="J75" s="72" t="n">
        <f aca="false">I75+J11</f>
        <v>5053.1</v>
      </c>
      <c r="K75" s="72" t="n">
        <f aca="false">J75+K11</f>
        <v>5053.1</v>
      </c>
      <c r="L75" s="72" t="n">
        <f aca="false">K75+L11</f>
        <v>5053.1</v>
      </c>
      <c r="M75" s="72" t="n">
        <f aca="false">L75+M11</f>
        <v>5053.1</v>
      </c>
      <c r="N75" s="72" t="n">
        <f aca="false">M75+N11</f>
        <v>5053.1</v>
      </c>
      <c r="O75" s="72" t="n">
        <f aca="false">N75+O11</f>
        <v>5053.1</v>
      </c>
      <c r="P75" s="72" t="n">
        <f aca="false">O75+P11</f>
        <v>5053.1</v>
      </c>
      <c r="Q75" s="72" t="n">
        <f aca="false">P75+Q11</f>
        <v>5053.1</v>
      </c>
      <c r="R75" s="72" t="n">
        <f aca="false">Q75+R11</f>
        <v>5053.1</v>
      </c>
      <c r="S75" s="72" t="n">
        <f aca="false">R75+S11</f>
        <v>5053.1</v>
      </c>
      <c r="T75" s="72" t="n">
        <f aca="false">S75+T11</f>
        <v>5053.1</v>
      </c>
      <c r="U75" s="72" t="n">
        <f aca="false">T75+U11</f>
        <v>5053.1</v>
      </c>
      <c r="V75" s="72" t="n">
        <f aca="false">U75+V11</f>
        <v>5053.1</v>
      </c>
      <c r="W75" s="72" t="n">
        <f aca="false">V75+W11</f>
        <v>5053.1</v>
      </c>
      <c r="X75" s="72" t="n">
        <f aca="false">W75+X11</f>
        <v>5053.1</v>
      </c>
      <c r="Y75" s="72" t="n">
        <f aca="false">X75+Y11</f>
        <v>5053.1</v>
      </c>
      <c r="Z75" s="72" t="n">
        <f aca="false">Y75+Z11</f>
        <v>5053.1</v>
      </c>
      <c r="AA75" s="72" t="n">
        <f aca="false">Z75+AA11</f>
        <v>5053.1</v>
      </c>
      <c r="AB75" s="72" t="n">
        <f aca="false">AA75+AB11</f>
        <v>5053.1</v>
      </c>
    </row>
    <row r="76" customFormat="false" ht="15" hidden="false" customHeight="false" outlineLevel="0" collapsed="false">
      <c r="A76" s="29" t="s">
        <v>833</v>
      </c>
      <c r="B76" s="60" t="s">
        <v>834</v>
      </c>
      <c r="C76" s="61" t="n">
        <f aca="false">SUM(E76:P76)</f>
        <v>596316.56</v>
      </c>
      <c r="D76" s="61" t="n">
        <f aca="false">SUM(Q76:AB76)</f>
        <v>0</v>
      </c>
      <c r="E76" s="62" t="n">
        <f aca="false">E11*Engagement_Register!$AD$9*Assumptions!E$194</f>
        <v>97233.08</v>
      </c>
      <c r="F76" s="62" t="n">
        <f aca="false">F11*Engagement_Register!$AD$9*Assumptions!F$194</f>
        <v>99420.16</v>
      </c>
      <c r="G76" s="62" t="n">
        <f aca="false">G11*Engagement_Register!$AD$9*Assumptions!G$194</f>
        <v>104938.96</v>
      </c>
      <c r="H76" s="62" t="n">
        <f aca="false">H11*Engagement_Register!$AD$9*Assumptions!H$194</f>
        <v>101750.32</v>
      </c>
      <c r="I76" s="62" t="n">
        <f aca="false">I11*Engagement_Register!$AD$9*Assumptions!I$194</f>
        <v>84887.32</v>
      </c>
      <c r="J76" s="62" t="n">
        <f aca="false">J11*Engagement_Register!$AD$9*Assumptions!J$194</f>
        <v>108086.72</v>
      </c>
      <c r="K76" s="62" t="n">
        <f aca="false">K11*Engagement_Register!$AD$9*Assumptions!K$194</f>
        <v>0</v>
      </c>
      <c r="L76" s="62" t="n">
        <f aca="false">L11*Engagement_Register!$AD$9*Assumptions!L$194</f>
        <v>0</v>
      </c>
      <c r="M76" s="62" t="n">
        <f aca="false">M11*Engagement_Register!$AD$9*Assumptions!M$194</f>
        <v>0</v>
      </c>
      <c r="N76" s="62" t="n">
        <f aca="false">N11*Engagement_Register!$AD$9*Assumptions!N$194</f>
        <v>0</v>
      </c>
      <c r="O76" s="62" t="n">
        <f aca="false">O11*Engagement_Register!$AD$9*Assumptions!O$194</f>
        <v>0</v>
      </c>
      <c r="P76" s="62" t="n">
        <f aca="false">P11*Engagement_Register!$AD$9*Assumptions!P$194</f>
        <v>0</v>
      </c>
      <c r="Q76" s="62" t="n">
        <f aca="false">Q11*Engagement_Register!$AD$9*Assumptions!Q$194</f>
        <v>0</v>
      </c>
      <c r="R76" s="62" t="n">
        <f aca="false">R11*Engagement_Register!$AD$9*Assumptions!R$194</f>
        <v>0</v>
      </c>
      <c r="S76" s="62" t="n">
        <f aca="false">S11*Engagement_Register!$AD$9*Assumptions!S$194</f>
        <v>0</v>
      </c>
      <c r="T76" s="62" t="n">
        <f aca="false">T11*Engagement_Register!$AD$9*Assumptions!T$194</f>
        <v>0</v>
      </c>
      <c r="U76" s="62" t="n">
        <f aca="false">U11*Engagement_Register!$AD$9*Assumptions!U$194</f>
        <v>0</v>
      </c>
      <c r="V76" s="62" t="n">
        <f aca="false">V11*Engagement_Register!$AD$9*Assumptions!V$194</f>
        <v>0</v>
      </c>
      <c r="W76" s="62" t="n">
        <f aca="false">W11*Engagement_Register!$AD$9*Assumptions!W$194</f>
        <v>0</v>
      </c>
      <c r="X76" s="62" t="n">
        <f aca="false">X11*Engagement_Register!$AD$9*Assumptions!X$194</f>
        <v>0</v>
      </c>
      <c r="Y76" s="62" t="n">
        <f aca="false">Y11*Engagement_Register!$AD$9*Assumptions!Y$194</f>
        <v>0</v>
      </c>
      <c r="Z76" s="62" t="n">
        <f aca="false">Z11*Engagement_Register!$AD$9*Assumptions!Z$194</f>
        <v>0</v>
      </c>
      <c r="AA76" s="62" t="n">
        <f aca="false">AA11*Engagement_Register!$AD$9*Assumptions!AA$194</f>
        <v>0</v>
      </c>
      <c r="AB76" s="62" t="n">
        <f aca="false">AB11*Engagement_Register!$AD$9*Assumptions!AB$194</f>
        <v>0</v>
      </c>
    </row>
    <row r="77" customFormat="false" ht="15" hidden="false" customHeight="false" outlineLevel="0" collapsed="false">
      <c r="A77" s="29" t="s">
        <v>835</v>
      </c>
      <c r="B77" s="60" t="s">
        <v>836</v>
      </c>
      <c r="C77" s="61" t="n">
        <f aca="false">SUM(E77:P77)</f>
        <v>548611.2352</v>
      </c>
      <c r="D77" s="61" t="n">
        <f aca="false">SUM(Q77:AB77)</f>
        <v>0</v>
      </c>
      <c r="E77" s="62" t="n">
        <f aca="false">E11*Engagement_Register!$AE$9*Assumptions!E$194</f>
        <v>89454.4336</v>
      </c>
      <c r="F77" s="62" t="n">
        <f aca="false">F11*Engagement_Register!$AE$9*Assumptions!F$194</f>
        <v>91466.5472</v>
      </c>
      <c r="G77" s="62" t="n">
        <f aca="false">G11*Engagement_Register!$AE$9*Assumptions!G$194</f>
        <v>96543.8432</v>
      </c>
      <c r="H77" s="62" t="n">
        <f aca="false">H11*Engagement_Register!$AE$9*Assumptions!H$194</f>
        <v>93610.2944</v>
      </c>
      <c r="I77" s="62" t="n">
        <f aca="false">I11*Engagement_Register!$AE$9*Assumptions!I$194</f>
        <v>78096.3344</v>
      </c>
      <c r="J77" s="62" t="n">
        <f aca="false">J11*Engagement_Register!$AE$9*Assumptions!J$194</f>
        <v>99439.7824</v>
      </c>
      <c r="K77" s="62" t="n">
        <f aca="false">K11*Engagement_Register!$AE$9*Assumptions!K$194</f>
        <v>0</v>
      </c>
      <c r="L77" s="62" t="n">
        <f aca="false">L11*Engagement_Register!$AE$9*Assumptions!L$194</f>
        <v>0</v>
      </c>
      <c r="M77" s="62" t="n">
        <f aca="false">M11*Engagement_Register!$AE$9*Assumptions!M$194</f>
        <v>0</v>
      </c>
      <c r="N77" s="62" t="n">
        <f aca="false">N11*Engagement_Register!$AE$9*Assumptions!N$194</f>
        <v>0</v>
      </c>
      <c r="O77" s="62" t="n">
        <f aca="false">O11*Engagement_Register!$AE$9*Assumptions!O$194</f>
        <v>0</v>
      </c>
      <c r="P77" s="62" t="n">
        <f aca="false">P11*Engagement_Register!$AE$9*Assumptions!P$194</f>
        <v>0</v>
      </c>
      <c r="Q77" s="62" t="n">
        <f aca="false">Q11*Engagement_Register!$AE$9*Assumptions!Q$194</f>
        <v>0</v>
      </c>
      <c r="R77" s="62" t="n">
        <f aca="false">R11*Engagement_Register!$AE$9*Assumptions!R$194</f>
        <v>0</v>
      </c>
      <c r="S77" s="62" t="n">
        <f aca="false">S11*Engagement_Register!$AE$9*Assumptions!S$194</f>
        <v>0</v>
      </c>
      <c r="T77" s="62" t="n">
        <f aca="false">T11*Engagement_Register!$AE$9*Assumptions!T$194</f>
        <v>0</v>
      </c>
      <c r="U77" s="62" t="n">
        <f aca="false">U11*Engagement_Register!$AE$9*Assumptions!U$194</f>
        <v>0</v>
      </c>
      <c r="V77" s="62" t="n">
        <f aca="false">V11*Engagement_Register!$AE$9*Assumptions!V$194</f>
        <v>0</v>
      </c>
      <c r="W77" s="62" t="n">
        <f aca="false">W11*Engagement_Register!$AE$9*Assumptions!W$194</f>
        <v>0</v>
      </c>
      <c r="X77" s="62" t="n">
        <f aca="false">X11*Engagement_Register!$AE$9*Assumptions!X$194</f>
        <v>0</v>
      </c>
      <c r="Y77" s="62" t="n">
        <f aca="false">Y11*Engagement_Register!$AE$9*Assumptions!Y$194</f>
        <v>0</v>
      </c>
      <c r="Z77" s="62" t="n">
        <f aca="false">Z11*Engagement_Register!$AE$9*Assumptions!Z$194</f>
        <v>0</v>
      </c>
      <c r="AA77" s="62" t="n">
        <f aca="false">AA11*Engagement_Register!$AE$9*Assumptions!AA$194</f>
        <v>0</v>
      </c>
      <c r="AB77" s="62" t="n">
        <f aca="false">AB11*Engagement_Register!$AE$9*Assumptions!AB$194</f>
        <v>0</v>
      </c>
    </row>
    <row r="78" customFormat="false" ht="15" hidden="false" customHeight="false" outlineLevel="0" collapsed="false">
      <c r="A78" s="68" t="s">
        <v>349</v>
      </c>
      <c r="B78" s="69" t="s">
        <v>837</v>
      </c>
      <c r="C78" s="70" t="n">
        <f aca="false">SUM(E78:P78)</f>
        <v>536721.24</v>
      </c>
      <c r="D78" s="70" t="n">
        <f aca="false">SUM(Q78:AB78)</f>
        <v>0</v>
      </c>
      <c r="E78" s="74" t="n">
        <f aca="false">IF(E$5="A",Inputs_Actuals!E23,E77*(1-Engagement_Register!$AS$9))</f>
        <v>87172.41</v>
      </c>
      <c r="F78" s="74" t="n">
        <f aca="false">IF(F$5="A",Inputs_Actuals!F23,F77*(1-Engagement_Register!$AS$9))</f>
        <v>89729.82</v>
      </c>
      <c r="G78" s="74" t="n">
        <f aca="false">IF(G$5="A",Inputs_Actuals!G23,G77*(1-Engagement_Register!$AS$9))</f>
        <v>94929.76</v>
      </c>
      <c r="H78" s="74" t="n">
        <f aca="false">IF(H$5="A",Inputs_Actuals!H23,H77*(1-Engagement_Register!$AS$9))</f>
        <v>90920.74</v>
      </c>
      <c r="I78" s="74" t="n">
        <f aca="false">IF(I$5="A",Inputs_Actuals!I23,I77*(1-Engagement_Register!$AS$9))</f>
        <v>76482.22</v>
      </c>
      <c r="J78" s="74" t="n">
        <f aca="false">IF(J$5="A",Inputs_Actuals!J23,J77*(1-Engagement_Register!$AS$9))</f>
        <v>97486.29</v>
      </c>
      <c r="K78" s="74" t="n">
        <f aca="false">IF(K$5="A",Inputs_Actuals!K23,K77*(1-Engagement_Register!$AS$9))</f>
        <v>0</v>
      </c>
      <c r="L78" s="74" t="n">
        <f aca="false">IF(L$5="A",Inputs_Actuals!L23,L77*(1-Engagement_Register!$AS$9))</f>
        <v>0</v>
      </c>
      <c r="M78" s="74" t="n">
        <f aca="false">IF(M$5="A",Inputs_Actuals!M23,M77*(1-Engagement_Register!$AS$9))</f>
        <v>0</v>
      </c>
      <c r="N78" s="74" t="n">
        <f aca="false">IF(N$5="A",Inputs_Actuals!N23,N77*(1-Engagement_Register!$AS$9))</f>
        <v>0</v>
      </c>
      <c r="O78" s="74" t="n">
        <f aca="false">IF(O$5="A",Inputs_Actuals!O23,O77*(1-Engagement_Register!$AS$9))</f>
        <v>0</v>
      </c>
      <c r="P78" s="74" t="n">
        <f aca="false">IF(P$5="A",Inputs_Actuals!P23,P77*(1-Engagement_Register!$AS$9))</f>
        <v>0</v>
      </c>
      <c r="Q78" s="74" t="n">
        <f aca="false">IF(Q$5="A",Inputs_Actuals!Q23,Q77*(1-Engagement_Register!$AS$9))</f>
        <v>0</v>
      </c>
      <c r="R78" s="74" t="n">
        <f aca="false">IF(R$5="A",Inputs_Actuals!R23,R77*(1-Engagement_Register!$AS$9))</f>
        <v>0</v>
      </c>
      <c r="S78" s="74" t="n">
        <f aca="false">IF(S$5="A",Inputs_Actuals!S23,S77*(1-Engagement_Register!$AS$9))</f>
        <v>0</v>
      </c>
      <c r="T78" s="74" t="n">
        <f aca="false">IF(T$5="A",Inputs_Actuals!T23,T77*(1-Engagement_Register!$AS$9))</f>
        <v>0</v>
      </c>
      <c r="U78" s="74" t="n">
        <f aca="false">IF(U$5="A",Inputs_Actuals!U23,U77*(1-Engagement_Register!$AS$9))</f>
        <v>0</v>
      </c>
      <c r="V78" s="74" t="n">
        <f aca="false">IF(V$5="A",Inputs_Actuals!V23,V77*(1-Engagement_Register!$AS$9))</f>
        <v>0</v>
      </c>
      <c r="W78" s="74" t="n">
        <f aca="false">IF(W$5="A",Inputs_Actuals!W23,W77*(1-Engagement_Register!$AS$9))</f>
        <v>0</v>
      </c>
      <c r="X78" s="74" t="n">
        <f aca="false">IF(X$5="A",Inputs_Actuals!X23,X77*(1-Engagement_Register!$AS$9))</f>
        <v>0</v>
      </c>
      <c r="Y78" s="74" t="n">
        <f aca="false">IF(Y$5="A",Inputs_Actuals!Y23,Y77*(1-Engagement_Register!$AS$9))</f>
        <v>0</v>
      </c>
      <c r="Z78" s="74" t="n">
        <f aca="false">IF(Z$5="A",Inputs_Actuals!Z23,Z77*(1-Engagement_Register!$AS$9))</f>
        <v>0</v>
      </c>
      <c r="AA78" s="74" t="n">
        <f aca="false">IF(AA$5="A",Inputs_Actuals!AA23,AA77*(1-Engagement_Register!$AS$9))</f>
        <v>0</v>
      </c>
      <c r="AB78" s="74" t="n">
        <f aca="false">IF(AB$5="A",Inputs_Actuals!AB23,AB77*(1-Engagement_Register!$AS$9))</f>
        <v>0</v>
      </c>
    </row>
    <row r="79" customFormat="false" ht="15" hidden="false" customHeight="false" outlineLevel="0" collapsed="false">
      <c r="A79" s="29" t="s">
        <v>838</v>
      </c>
      <c r="B79" s="60" t="s">
        <v>839</v>
      </c>
      <c r="C79" s="61" t="n">
        <f aca="false">SUM(E79:P79)</f>
        <v>635032.9</v>
      </c>
      <c r="D79" s="61" t="n">
        <f aca="false">SUM(Q79:AB79)</f>
        <v>0</v>
      </c>
      <c r="E79" s="62" t="n">
        <f aca="false">IF(E$5="A",Inputs_Actuals!E24,0)</f>
        <v>98311.66</v>
      </c>
      <c r="F79" s="62" t="n">
        <f aca="false">IF(F$5="A",Inputs_Actuals!F24,E78)</f>
        <v>87172.41</v>
      </c>
      <c r="G79" s="62" t="n">
        <f aca="false">IF(G$5="A",Inputs_Actuals!G24,F78)</f>
        <v>89729.82</v>
      </c>
      <c r="H79" s="62" t="n">
        <f aca="false">IF(H$5="A",Inputs_Actuals!H24,G78)</f>
        <v>94929.76</v>
      </c>
      <c r="I79" s="62" t="n">
        <f aca="false">IF(I$5="A",Inputs_Actuals!I24,H78)</f>
        <v>90920.74</v>
      </c>
      <c r="J79" s="62" t="n">
        <f aca="false">IF(J$5="A",Inputs_Actuals!J24,I78)</f>
        <v>76482.22</v>
      </c>
      <c r="K79" s="62" t="n">
        <f aca="false">IF(K$5="A",Inputs_Actuals!K24,J78)</f>
        <v>97486.29</v>
      </c>
      <c r="L79" s="62" t="n">
        <f aca="false">IF(L$5="A",Inputs_Actuals!L24,K78)</f>
        <v>0</v>
      </c>
      <c r="M79" s="62" t="n">
        <f aca="false">IF(M$5="A",Inputs_Actuals!M24,L78)</f>
        <v>0</v>
      </c>
      <c r="N79" s="62" t="n">
        <f aca="false">IF(N$5="A",Inputs_Actuals!N24,M78)</f>
        <v>0</v>
      </c>
      <c r="O79" s="62" t="n">
        <f aca="false">IF(O$5="A",Inputs_Actuals!O24,N78)</f>
        <v>0</v>
      </c>
      <c r="P79" s="62" t="n">
        <f aca="false">IF(P$5="A",Inputs_Actuals!P24,O78)</f>
        <v>0</v>
      </c>
      <c r="Q79" s="62" t="n">
        <f aca="false">IF(Q$5="A",Inputs_Actuals!Q24,P78)</f>
        <v>0</v>
      </c>
      <c r="R79" s="62" t="n">
        <f aca="false">IF(R$5="A",Inputs_Actuals!R24,Q78)</f>
        <v>0</v>
      </c>
      <c r="S79" s="62" t="n">
        <f aca="false">IF(S$5="A",Inputs_Actuals!S24,R78)</f>
        <v>0</v>
      </c>
      <c r="T79" s="62" t="n">
        <f aca="false">IF(T$5="A",Inputs_Actuals!T24,S78)</f>
        <v>0</v>
      </c>
      <c r="U79" s="62" t="n">
        <f aca="false">IF(U$5="A",Inputs_Actuals!U24,T78)</f>
        <v>0</v>
      </c>
      <c r="V79" s="62" t="n">
        <f aca="false">IF(V$5="A",Inputs_Actuals!V24,U78)</f>
        <v>0</v>
      </c>
      <c r="W79" s="62" t="n">
        <f aca="false">IF(W$5="A",Inputs_Actuals!W24,V78)</f>
        <v>0</v>
      </c>
      <c r="X79" s="62" t="n">
        <f aca="false">IF(X$5="A",Inputs_Actuals!X24,W78)</f>
        <v>0</v>
      </c>
      <c r="Y79" s="62" t="n">
        <f aca="false">IF(Y$5="A",Inputs_Actuals!Y24,X78)</f>
        <v>0</v>
      </c>
      <c r="Z79" s="62" t="n">
        <f aca="false">IF(Z$5="A",Inputs_Actuals!Z24,Y78)</f>
        <v>0</v>
      </c>
      <c r="AA79" s="62" t="n">
        <f aca="false">IF(AA$5="A",Inputs_Actuals!AA24,Z78)</f>
        <v>0</v>
      </c>
      <c r="AB79" s="62" t="n">
        <f aca="false">IF(AB$5="A",Inputs_Actuals!AB24,AA78)</f>
        <v>0</v>
      </c>
    </row>
    <row r="80" customFormat="false" ht="15" hidden="false" customHeight="false" outlineLevel="0" collapsed="false">
      <c r="A80" s="29" t="s">
        <v>840</v>
      </c>
      <c r="B80" s="60"/>
      <c r="C80" s="61" t="n">
        <f aca="false">P80</f>
        <v>929458.53</v>
      </c>
      <c r="D80" s="61" t="n">
        <f aca="false">AB80</f>
        <v>929458.53</v>
      </c>
      <c r="E80" s="62" t="n">
        <f aca="false">Engagement_Register!$V$9+E79</f>
        <v>392737.29</v>
      </c>
      <c r="F80" s="71" t="n">
        <f aca="false">E80+F79</f>
        <v>479909.7</v>
      </c>
      <c r="G80" s="71" t="n">
        <f aca="false">F80+G79</f>
        <v>569639.52</v>
      </c>
      <c r="H80" s="71" t="n">
        <f aca="false">G80+H79</f>
        <v>664569.28</v>
      </c>
      <c r="I80" s="71" t="n">
        <f aca="false">H80+I79</f>
        <v>755490.02</v>
      </c>
      <c r="J80" s="71" t="n">
        <f aca="false">I80+J79</f>
        <v>831972.24</v>
      </c>
      <c r="K80" s="71" t="n">
        <f aca="false">J80+K79</f>
        <v>929458.53</v>
      </c>
      <c r="L80" s="71" t="n">
        <f aca="false">K80+L79</f>
        <v>929458.53</v>
      </c>
      <c r="M80" s="71" t="n">
        <f aca="false">L80+M79</f>
        <v>929458.53</v>
      </c>
      <c r="N80" s="71" t="n">
        <f aca="false">M80+N79</f>
        <v>929458.53</v>
      </c>
      <c r="O80" s="71" t="n">
        <f aca="false">N80+O79</f>
        <v>929458.53</v>
      </c>
      <c r="P80" s="71" t="n">
        <f aca="false">O80+P79</f>
        <v>929458.53</v>
      </c>
      <c r="Q80" s="71" t="n">
        <f aca="false">P80+Q79</f>
        <v>929458.53</v>
      </c>
      <c r="R80" s="71" t="n">
        <f aca="false">Q80+R79</f>
        <v>929458.53</v>
      </c>
      <c r="S80" s="71" t="n">
        <f aca="false">R80+S79</f>
        <v>929458.53</v>
      </c>
      <c r="T80" s="71" t="n">
        <f aca="false">S80+T79</f>
        <v>929458.53</v>
      </c>
      <c r="U80" s="71" t="n">
        <f aca="false">T80+U79</f>
        <v>929458.53</v>
      </c>
      <c r="V80" s="71" t="n">
        <f aca="false">U80+V79</f>
        <v>929458.53</v>
      </c>
      <c r="W80" s="71" t="n">
        <f aca="false">V80+W79</f>
        <v>929458.53</v>
      </c>
      <c r="X80" s="71" t="n">
        <f aca="false">W80+X79</f>
        <v>929458.53</v>
      </c>
      <c r="Y80" s="71" t="n">
        <f aca="false">X80+Y79</f>
        <v>929458.53</v>
      </c>
      <c r="Z80" s="71" t="n">
        <f aca="false">Y80+Z79</f>
        <v>929458.53</v>
      </c>
      <c r="AA80" s="71" t="n">
        <f aca="false">Z80+AA79</f>
        <v>929458.53</v>
      </c>
      <c r="AB80" s="71" t="n">
        <f aca="false">AA80+AB79</f>
        <v>929458.53</v>
      </c>
    </row>
    <row r="81" customFormat="false" ht="15" hidden="false" customHeight="false" outlineLevel="0" collapsed="false">
      <c r="A81" s="29" t="s">
        <v>841</v>
      </c>
      <c r="B81" s="60" t="s">
        <v>842</v>
      </c>
      <c r="C81" s="61" t="n">
        <f aca="false">SUM(E81:P81)</f>
        <v>24439.36</v>
      </c>
      <c r="D81" s="61" t="n">
        <f aca="false">SUM(Q81:AB81)</f>
        <v>0</v>
      </c>
      <c r="E81" s="62" t="n">
        <f aca="false">IF(E$5="A",Inputs_Actuals!E25,E11*Engagement_Register!$N$9*Assumptions!E$195)</f>
        <v>4802.24</v>
      </c>
      <c r="F81" s="62" t="n">
        <f aca="false">IF(F$5="A",Inputs_Actuals!F25,F11*Engagement_Register!$N$9*Assumptions!F$195)</f>
        <v>3891.79</v>
      </c>
      <c r="G81" s="62" t="n">
        <f aca="false">IF(G$5="A",Inputs_Actuals!G25,G11*Engagement_Register!$N$9*Assumptions!G$195)</f>
        <v>4040.9</v>
      </c>
      <c r="H81" s="62" t="n">
        <f aca="false">IF(H$5="A",Inputs_Actuals!H25,H11*Engagement_Register!$N$9*Assumptions!H$195)</f>
        <v>4247.23</v>
      </c>
      <c r="I81" s="62" t="n">
        <f aca="false">IF(I$5="A",Inputs_Actuals!I25,I11*Engagement_Register!$N$9*Assumptions!I$195)</f>
        <v>2718.59</v>
      </c>
      <c r="J81" s="62" t="n">
        <f aca="false">IF(J$5="A",Inputs_Actuals!J25,J11*Engagement_Register!$N$9*Assumptions!J$195)</f>
        <v>4738.61</v>
      </c>
      <c r="K81" s="62" t="n">
        <f aca="false">IF(K$5="A",Inputs_Actuals!K25,K11*Engagement_Register!$N$9*Assumptions!K$195)</f>
        <v>0</v>
      </c>
      <c r="L81" s="62" t="n">
        <f aca="false">IF(L$5="A",Inputs_Actuals!L25,L11*Engagement_Register!$N$9*Assumptions!L$195)</f>
        <v>0</v>
      </c>
      <c r="M81" s="62" t="n">
        <f aca="false">IF(M$5="A",Inputs_Actuals!M25,M11*Engagement_Register!$N$9*Assumptions!M$195)</f>
        <v>0</v>
      </c>
      <c r="N81" s="62" t="n">
        <f aca="false">IF(N$5="A",Inputs_Actuals!N25,N11*Engagement_Register!$N$9*Assumptions!N$195)</f>
        <v>0</v>
      </c>
      <c r="O81" s="62" t="n">
        <f aca="false">IF(O$5="A",Inputs_Actuals!O25,O11*Engagement_Register!$N$9*Assumptions!O$195)</f>
        <v>0</v>
      </c>
      <c r="P81" s="62" t="n">
        <f aca="false">IF(P$5="A",Inputs_Actuals!P25,P11*Engagement_Register!$N$9*Assumptions!P$195)</f>
        <v>0</v>
      </c>
      <c r="Q81" s="62" t="n">
        <f aca="false">IF(Q$5="A",Inputs_Actuals!Q25,Q11*Engagement_Register!$N$9*Assumptions!Q$195)</f>
        <v>0</v>
      </c>
      <c r="R81" s="62" t="n">
        <f aca="false">IF(R$5="A",Inputs_Actuals!R25,R11*Engagement_Register!$N$9*Assumptions!R$195)</f>
        <v>0</v>
      </c>
      <c r="S81" s="62" t="n">
        <f aca="false">IF(S$5="A",Inputs_Actuals!S25,S11*Engagement_Register!$N$9*Assumptions!S$195)</f>
        <v>0</v>
      </c>
      <c r="T81" s="62" t="n">
        <f aca="false">IF(T$5="A",Inputs_Actuals!T25,T11*Engagement_Register!$N$9*Assumptions!T$195)</f>
        <v>0</v>
      </c>
      <c r="U81" s="62" t="n">
        <f aca="false">IF(U$5="A",Inputs_Actuals!U25,U11*Engagement_Register!$N$9*Assumptions!U$195)</f>
        <v>0</v>
      </c>
      <c r="V81" s="62" t="n">
        <f aca="false">IF(V$5="A",Inputs_Actuals!V25,V11*Engagement_Register!$N$9*Assumptions!V$195)</f>
        <v>0</v>
      </c>
      <c r="W81" s="62" t="n">
        <f aca="false">IF(W$5="A",Inputs_Actuals!W25,W11*Engagement_Register!$N$9*Assumptions!W$195)</f>
        <v>0</v>
      </c>
      <c r="X81" s="62" t="n">
        <f aca="false">IF(X$5="A",Inputs_Actuals!X25,X11*Engagement_Register!$N$9*Assumptions!X$195)</f>
        <v>0</v>
      </c>
      <c r="Y81" s="62" t="n">
        <f aca="false">IF(Y$5="A",Inputs_Actuals!Y25,Y11*Engagement_Register!$N$9*Assumptions!Y$195)</f>
        <v>0</v>
      </c>
      <c r="Z81" s="62" t="n">
        <f aca="false">IF(Z$5="A",Inputs_Actuals!Z25,Z11*Engagement_Register!$N$9*Assumptions!Z$195)</f>
        <v>0</v>
      </c>
      <c r="AA81" s="62" t="n">
        <f aca="false">IF(AA$5="A",Inputs_Actuals!AA25,AA11*Engagement_Register!$N$9*Assumptions!AA$195)</f>
        <v>0</v>
      </c>
      <c r="AB81" s="62" t="n">
        <f aca="false">IF(AB$5="A",Inputs_Actuals!AB25,AB11*Engagement_Register!$N$9*Assumptions!AB$195)</f>
        <v>0</v>
      </c>
    </row>
    <row r="82" customFormat="false" ht="15" hidden="false" customHeight="false" outlineLevel="0" collapsed="false">
      <c r="A82" s="29" t="s">
        <v>843</v>
      </c>
      <c r="B82" s="60" t="s">
        <v>844</v>
      </c>
      <c r="C82" s="61" t="n">
        <f aca="false">SUM(E82:P82)</f>
        <v>24439.36</v>
      </c>
      <c r="D82" s="61" t="n">
        <f aca="false">SUM(Q82:AB82)</f>
        <v>0</v>
      </c>
      <c r="E82" s="71" t="n">
        <f aca="false">E81</f>
        <v>4802.24</v>
      </c>
      <c r="F82" s="71" t="n">
        <f aca="false">F81</f>
        <v>3891.79</v>
      </c>
      <c r="G82" s="71" t="n">
        <f aca="false">G81</f>
        <v>4040.9</v>
      </c>
      <c r="H82" s="71" t="n">
        <f aca="false">H81</f>
        <v>4247.23</v>
      </c>
      <c r="I82" s="71" t="n">
        <f aca="false">I81</f>
        <v>2718.59</v>
      </c>
      <c r="J82" s="71" t="n">
        <f aca="false">J81</f>
        <v>4738.61</v>
      </c>
      <c r="K82" s="71" t="n">
        <f aca="false">K81</f>
        <v>0</v>
      </c>
      <c r="L82" s="71" t="n">
        <f aca="false">L81</f>
        <v>0</v>
      </c>
      <c r="M82" s="71" t="n">
        <f aca="false">M81</f>
        <v>0</v>
      </c>
      <c r="N82" s="71" t="n">
        <f aca="false">N81</f>
        <v>0</v>
      </c>
      <c r="O82" s="71" t="n">
        <f aca="false">O81</f>
        <v>0</v>
      </c>
      <c r="P82" s="71" t="n">
        <f aca="false">P81</f>
        <v>0</v>
      </c>
      <c r="Q82" s="71" t="n">
        <f aca="false">Q81</f>
        <v>0</v>
      </c>
      <c r="R82" s="71" t="n">
        <f aca="false">R81</f>
        <v>0</v>
      </c>
      <c r="S82" s="71" t="n">
        <f aca="false">S81</f>
        <v>0</v>
      </c>
      <c r="T82" s="71" t="n">
        <f aca="false">T81</f>
        <v>0</v>
      </c>
      <c r="U82" s="71" t="n">
        <f aca="false">U81</f>
        <v>0</v>
      </c>
      <c r="V82" s="71" t="n">
        <f aca="false">V81</f>
        <v>0</v>
      </c>
      <c r="W82" s="71" t="n">
        <f aca="false">W81</f>
        <v>0</v>
      </c>
      <c r="X82" s="71" t="n">
        <f aca="false">X81</f>
        <v>0</v>
      </c>
      <c r="Y82" s="71" t="n">
        <f aca="false">Y81</f>
        <v>0</v>
      </c>
      <c r="Z82" s="71" t="n">
        <f aca="false">Z81</f>
        <v>0</v>
      </c>
      <c r="AA82" s="71" t="n">
        <f aca="false">AA81</f>
        <v>0</v>
      </c>
      <c r="AB82" s="71" t="n">
        <f aca="false">AB81</f>
        <v>0</v>
      </c>
    </row>
    <row r="83" customFormat="false" ht="15" hidden="false" customHeight="false" outlineLevel="0" collapsed="false">
      <c r="A83" s="29" t="s">
        <v>845</v>
      </c>
      <c r="B83" s="60" t="s">
        <v>846</v>
      </c>
      <c r="C83" s="61" t="n">
        <f aca="false">SUM(E83:P83)</f>
        <v>29133.67</v>
      </c>
      <c r="D83" s="61" t="n">
        <f aca="false">SUM(Q83:AB83)</f>
        <v>0</v>
      </c>
      <c r="E83" s="62" t="n">
        <f aca="false">IF(E$5="A",Inputs_Actuals!E26,0)</f>
        <v>4694.31</v>
      </c>
      <c r="F83" s="62" t="n">
        <f aca="false">IF(F$5="A",Inputs_Actuals!F26,E82)</f>
        <v>4802.24</v>
      </c>
      <c r="G83" s="62" t="n">
        <f aca="false">IF(G$5="A",Inputs_Actuals!G26,F82)</f>
        <v>3891.79</v>
      </c>
      <c r="H83" s="62" t="n">
        <f aca="false">IF(H$5="A",Inputs_Actuals!H26,G82)</f>
        <v>4040.9</v>
      </c>
      <c r="I83" s="62" t="n">
        <f aca="false">IF(I$5="A",Inputs_Actuals!I26,H82)</f>
        <v>4247.23</v>
      </c>
      <c r="J83" s="62" t="n">
        <f aca="false">IF(J$5="A",Inputs_Actuals!J26,I82)</f>
        <v>2718.59</v>
      </c>
      <c r="K83" s="62" t="n">
        <f aca="false">IF(K$5="A",Inputs_Actuals!K26,J82)</f>
        <v>4738.61</v>
      </c>
      <c r="L83" s="62" t="n">
        <f aca="false">IF(L$5="A",Inputs_Actuals!L26,K82)</f>
        <v>0</v>
      </c>
      <c r="M83" s="62" t="n">
        <f aca="false">IF(M$5="A",Inputs_Actuals!M26,L82)</f>
        <v>0</v>
      </c>
      <c r="N83" s="62" t="n">
        <f aca="false">IF(N$5="A",Inputs_Actuals!N26,M82)</f>
        <v>0</v>
      </c>
      <c r="O83" s="62" t="n">
        <f aca="false">IF(O$5="A",Inputs_Actuals!O26,N82)</f>
        <v>0</v>
      </c>
      <c r="P83" s="62" t="n">
        <f aca="false">IF(P$5="A",Inputs_Actuals!P26,O82)</f>
        <v>0</v>
      </c>
      <c r="Q83" s="62" t="n">
        <f aca="false">IF(Q$5="A",Inputs_Actuals!Q26,P82)</f>
        <v>0</v>
      </c>
      <c r="R83" s="62" t="n">
        <f aca="false">IF(R$5="A",Inputs_Actuals!R26,Q82)</f>
        <v>0</v>
      </c>
      <c r="S83" s="62" t="n">
        <f aca="false">IF(S$5="A",Inputs_Actuals!S26,R82)</f>
        <v>0</v>
      </c>
      <c r="T83" s="62" t="n">
        <f aca="false">IF(T$5="A",Inputs_Actuals!T26,S82)</f>
        <v>0</v>
      </c>
      <c r="U83" s="62" t="n">
        <f aca="false">IF(U$5="A",Inputs_Actuals!U26,T82)</f>
        <v>0</v>
      </c>
      <c r="V83" s="62" t="n">
        <f aca="false">IF(V$5="A",Inputs_Actuals!V26,U82)</f>
        <v>0</v>
      </c>
      <c r="W83" s="62" t="n">
        <f aca="false">IF(W$5="A",Inputs_Actuals!W26,V82)</f>
        <v>0</v>
      </c>
      <c r="X83" s="62" t="n">
        <f aca="false">IF(X$5="A",Inputs_Actuals!X26,W82)</f>
        <v>0</v>
      </c>
      <c r="Y83" s="62" t="n">
        <f aca="false">IF(Y$5="A",Inputs_Actuals!Y26,X82)</f>
        <v>0</v>
      </c>
      <c r="Z83" s="62" t="n">
        <f aca="false">IF(Z$5="A",Inputs_Actuals!Z26,Y82)</f>
        <v>0</v>
      </c>
      <c r="AA83" s="62" t="n">
        <f aca="false">IF(AA$5="A",Inputs_Actuals!AA26,Z82)</f>
        <v>0</v>
      </c>
      <c r="AB83" s="62" t="n">
        <f aca="false">IF(AB$5="A",Inputs_Actuals!AB26,AA82)</f>
        <v>0</v>
      </c>
    </row>
    <row r="84" customFormat="false" ht="15" hidden="false" customHeight="false" outlineLevel="0" collapsed="false">
      <c r="A84" s="29" t="s">
        <v>847</v>
      </c>
      <c r="B84" s="60" t="s">
        <v>848</v>
      </c>
      <c r="C84" s="61" t="n">
        <f aca="false">P84</f>
        <v>0</v>
      </c>
      <c r="D84" s="61" t="n">
        <f aca="false">AB84</f>
        <v>0</v>
      </c>
      <c r="E84" s="62" t="n">
        <f aca="false">Engagement_Register!$X$9+E78+E82-E83-E79</f>
        <v>91974.65</v>
      </c>
      <c r="F84" s="71" t="n">
        <f aca="false">E84+F78+F82-F83-F79</f>
        <v>93621.61</v>
      </c>
      <c r="G84" s="71" t="n">
        <f aca="false">F84+G78+G82-G83-G79</f>
        <v>98970.66</v>
      </c>
      <c r="H84" s="71" t="n">
        <f aca="false">G84+H78+H82-H83-H79</f>
        <v>95167.97</v>
      </c>
      <c r="I84" s="71" t="n">
        <f aca="false">H84+I78+I82-I83-I79</f>
        <v>79200.81</v>
      </c>
      <c r="J84" s="71" t="n">
        <f aca="false">I84+J78+J82-J83-J79</f>
        <v>102224.9</v>
      </c>
      <c r="K84" s="71" t="n">
        <f aca="false">J84+K78+K82-K83-K79</f>
        <v>0</v>
      </c>
      <c r="L84" s="71" t="n">
        <f aca="false">K84+L78+L82-L83-L79</f>
        <v>0</v>
      </c>
      <c r="M84" s="71" t="n">
        <f aca="false">L84+M78+M82-M83-M79</f>
        <v>0</v>
      </c>
      <c r="N84" s="71" t="n">
        <f aca="false">M84+N78+N82-N83-N79</f>
        <v>0</v>
      </c>
      <c r="O84" s="71" t="n">
        <f aca="false">N84+O78+O82-O83-O79</f>
        <v>0</v>
      </c>
      <c r="P84" s="71" t="n">
        <f aca="false">O84+P78+P82-P83-P79</f>
        <v>0</v>
      </c>
      <c r="Q84" s="71" t="n">
        <f aca="false">P84+Q78+Q82-Q83-Q79</f>
        <v>0</v>
      </c>
      <c r="R84" s="71" t="n">
        <f aca="false">Q84+R78+R82-R83-R79</f>
        <v>0</v>
      </c>
      <c r="S84" s="71" t="n">
        <f aca="false">R84+S78+S82-S83-S79</f>
        <v>0</v>
      </c>
      <c r="T84" s="71" t="n">
        <f aca="false">S84+T78+T82-T83-T79</f>
        <v>0</v>
      </c>
      <c r="U84" s="71" t="n">
        <f aca="false">T84+U78+U82-U83-U79</f>
        <v>0</v>
      </c>
      <c r="V84" s="71" t="n">
        <f aca="false">U84+V78+V82-V83-V79</f>
        <v>0</v>
      </c>
      <c r="W84" s="71" t="n">
        <f aca="false">V84+W78+W82-W83-W79</f>
        <v>0</v>
      </c>
      <c r="X84" s="71" t="n">
        <f aca="false">W84+X78+X82-X83-X79</f>
        <v>0</v>
      </c>
      <c r="Y84" s="71" t="n">
        <f aca="false">X84+Y78+Y82-Y83-Y79</f>
        <v>0</v>
      </c>
      <c r="Z84" s="71" t="n">
        <f aca="false">Y84+Z78+Z82-Z83-Z79</f>
        <v>0</v>
      </c>
      <c r="AA84" s="71" t="n">
        <f aca="false">Z84+AA78+AA82-AA83-AA79</f>
        <v>0</v>
      </c>
      <c r="AB84" s="71" t="n">
        <f aca="false">AA84+AB78+AB82-AB83-AB79</f>
        <v>0</v>
      </c>
    </row>
    <row r="85" customFormat="false" ht="15" hidden="false" customHeight="false" outlineLevel="0" collapsed="false">
      <c r="A85" s="29" t="s">
        <v>849</v>
      </c>
      <c r="B85" s="60" t="s">
        <v>850</v>
      </c>
      <c r="C85" s="61" t="n">
        <f aca="false">P85</f>
        <v>0</v>
      </c>
      <c r="D85" s="61" t="n">
        <f aca="false">AB85</f>
        <v>0</v>
      </c>
      <c r="E85" s="62" t="n">
        <f aca="false">MAX(0,Engagement_Register!$AM$9-E75)*Engagement_Register!$AE$9*Assumptions!E$194*(1-Engagement_Register!$AS$9)</f>
        <v>444613.975175883</v>
      </c>
      <c r="F85" s="62" t="n">
        <f aca="false">MAX(0,Engagement_Register!$AM$9-F75)*Engagement_Register!$AE$9*Assumptions!F$194*(1-Engagement_Register!$AS$9)</f>
        <v>356044.438572062</v>
      </c>
      <c r="G85" s="62" t="n">
        <f aca="false">MAX(0,Engagement_Register!$AM$9-G75)*Engagement_Register!$AE$9*Assumptions!G$194*(1-Engagement_Register!$AS$9)</f>
        <v>262558.41864525</v>
      </c>
      <c r="H85" s="62" t="n">
        <f aca="false">MAX(0,Engagement_Register!$AM$9-H75)*Engagement_Register!$AE$9*Assumptions!H$194*(1-Engagement_Register!$AS$9)</f>
        <v>171913.033527277</v>
      </c>
      <c r="I85" s="62" t="n">
        <f aca="false">MAX(0,Engagement_Register!$AM$9-I75)*Engagement_Register!$AE$9*Assumptions!I$194*(1-Engagement_Register!$AS$9)</f>
        <v>96290.2363406672</v>
      </c>
      <c r="J85" s="62" t="n">
        <f aca="false">MAX(0,Engagement_Register!$AM$9-J75)*Engagement_Register!$AE$9*Assumptions!J$194*(1-Engagement_Register!$AS$9)</f>
        <v>0</v>
      </c>
      <c r="K85" s="62" t="n">
        <f aca="false">MAX(0,Engagement_Register!$AM$9-K75)*Engagement_Register!$AE$9*Assumptions!K$194*(1-Engagement_Register!$AS$9)</f>
        <v>0</v>
      </c>
      <c r="L85" s="62" t="n">
        <f aca="false">MAX(0,Engagement_Register!$AM$9-L75)*Engagement_Register!$AE$9*Assumptions!L$194*(1-Engagement_Register!$AS$9)</f>
        <v>0</v>
      </c>
      <c r="M85" s="62" t="n">
        <f aca="false">MAX(0,Engagement_Register!$AM$9-M75)*Engagement_Register!$AE$9*Assumptions!M$194*(1-Engagement_Register!$AS$9)</f>
        <v>0</v>
      </c>
      <c r="N85" s="62" t="n">
        <f aca="false">MAX(0,Engagement_Register!$AM$9-N75)*Engagement_Register!$AE$9*Assumptions!N$194*(1-Engagement_Register!$AS$9)</f>
        <v>0</v>
      </c>
      <c r="O85" s="62" t="n">
        <f aca="false">MAX(0,Engagement_Register!$AM$9-O75)*Engagement_Register!$AE$9*Assumptions!O$194*(1-Engagement_Register!$AS$9)</f>
        <v>0</v>
      </c>
      <c r="P85" s="62" t="n">
        <f aca="false">MAX(0,Engagement_Register!$AM$9-P75)*Engagement_Register!$AE$9*Assumptions!P$194*(1-Engagement_Register!$AS$9)</f>
        <v>0</v>
      </c>
      <c r="Q85" s="62" t="n">
        <f aca="false">MAX(0,Engagement_Register!$AM$9-Q75)*Engagement_Register!$AE$9*Assumptions!Q$194*(1-Engagement_Register!$AS$9)</f>
        <v>0</v>
      </c>
      <c r="R85" s="62" t="n">
        <f aca="false">MAX(0,Engagement_Register!$AM$9-R75)*Engagement_Register!$AE$9*Assumptions!R$194*(1-Engagement_Register!$AS$9)</f>
        <v>0</v>
      </c>
      <c r="S85" s="62" t="n">
        <f aca="false">MAX(0,Engagement_Register!$AM$9-S75)*Engagement_Register!$AE$9*Assumptions!S$194*(1-Engagement_Register!$AS$9)</f>
        <v>0</v>
      </c>
      <c r="T85" s="62" t="n">
        <f aca="false">MAX(0,Engagement_Register!$AM$9-T75)*Engagement_Register!$AE$9*Assumptions!T$194*(1-Engagement_Register!$AS$9)</f>
        <v>0</v>
      </c>
      <c r="U85" s="62" t="n">
        <f aca="false">MAX(0,Engagement_Register!$AM$9-U75)*Engagement_Register!$AE$9*Assumptions!U$194*(1-Engagement_Register!$AS$9)</f>
        <v>0</v>
      </c>
      <c r="V85" s="62" t="n">
        <f aca="false">MAX(0,Engagement_Register!$AM$9-V75)*Engagement_Register!$AE$9*Assumptions!V$194*(1-Engagement_Register!$AS$9)</f>
        <v>0</v>
      </c>
      <c r="W85" s="62" t="n">
        <f aca="false">MAX(0,Engagement_Register!$AM$9-W75)*Engagement_Register!$AE$9*Assumptions!W$194*(1-Engagement_Register!$AS$9)</f>
        <v>0</v>
      </c>
      <c r="X85" s="62" t="n">
        <f aca="false">MAX(0,Engagement_Register!$AM$9-X75)*Engagement_Register!$AE$9*Assumptions!X$194*(1-Engagement_Register!$AS$9)</f>
        <v>0</v>
      </c>
      <c r="Y85" s="62" t="n">
        <f aca="false">MAX(0,Engagement_Register!$AM$9-Y75)*Engagement_Register!$AE$9*Assumptions!Y$194*(1-Engagement_Register!$AS$9)</f>
        <v>0</v>
      </c>
      <c r="Z85" s="62" t="n">
        <f aca="false">MAX(0,Engagement_Register!$AM$9-Z75)*Engagement_Register!$AE$9*Assumptions!Z$194*(1-Engagement_Register!$AS$9)</f>
        <v>0</v>
      </c>
      <c r="AA85" s="62" t="n">
        <f aca="false">MAX(0,Engagement_Register!$AM$9-AA75)*Engagement_Register!$AE$9*Assumptions!AA$194*(1-Engagement_Register!$AS$9)</f>
        <v>0</v>
      </c>
      <c r="AB85" s="62" t="n">
        <f aca="false">MAX(0,Engagement_Register!$AM$9-AB75)*Engagement_Register!$AE$9*Assumptions!AB$194*(1-Engagement_Register!$AS$9)</f>
        <v>0</v>
      </c>
    </row>
    <row r="87" customFormat="false" ht="15" hidden="false" customHeight="false" outlineLevel="0" collapsed="false">
      <c r="A87" s="23" t="s">
        <v>864</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row>
    <row r="88" customFormat="false" ht="15" hidden="false" customHeight="false" outlineLevel="0" collapsed="false">
      <c r="A88" s="29" t="s">
        <v>736</v>
      </c>
      <c r="B88" s="60" t="s">
        <v>832</v>
      </c>
      <c r="C88" s="66" t="n">
        <f aca="false">P88</f>
        <v>1560</v>
      </c>
      <c r="D88" s="66" t="n">
        <f aca="false">AB88</f>
        <v>1560</v>
      </c>
      <c r="E88" s="67" t="n">
        <f aca="false">Engagement_Register!$T$10+E12</f>
        <v>644.6</v>
      </c>
      <c r="F88" s="72" t="n">
        <f aca="false">E88+F12</f>
        <v>857.3</v>
      </c>
      <c r="G88" s="72" t="n">
        <f aca="false">F88+G12</f>
        <v>1166</v>
      </c>
      <c r="H88" s="72" t="n">
        <f aca="false">G88+H12</f>
        <v>1383.1</v>
      </c>
      <c r="I88" s="72" t="n">
        <f aca="false">H88+I12</f>
        <v>1560</v>
      </c>
      <c r="J88" s="72" t="n">
        <f aca="false">I88+J12</f>
        <v>1560</v>
      </c>
      <c r="K88" s="72" t="n">
        <f aca="false">J88+K12</f>
        <v>1560</v>
      </c>
      <c r="L88" s="72" t="n">
        <f aca="false">K88+L12</f>
        <v>1560</v>
      </c>
      <c r="M88" s="72" t="n">
        <f aca="false">L88+M12</f>
        <v>1560</v>
      </c>
      <c r="N88" s="72" t="n">
        <f aca="false">M88+N12</f>
        <v>1560</v>
      </c>
      <c r="O88" s="72" t="n">
        <f aca="false">N88+O12</f>
        <v>1560</v>
      </c>
      <c r="P88" s="72" t="n">
        <f aca="false">O88+P12</f>
        <v>1560</v>
      </c>
      <c r="Q88" s="72" t="n">
        <f aca="false">P88+Q12</f>
        <v>1560</v>
      </c>
      <c r="R88" s="72" t="n">
        <f aca="false">Q88+R12</f>
        <v>1560</v>
      </c>
      <c r="S88" s="72" t="n">
        <f aca="false">R88+S12</f>
        <v>1560</v>
      </c>
      <c r="T88" s="72" t="n">
        <f aca="false">S88+T12</f>
        <v>1560</v>
      </c>
      <c r="U88" s="72" t="n">
        <f aca="false">T88+U12</f>
        <v>1560</v>
      </c>
      <c r="V88" s="72" t="n">
        <f aca="false">U88+V12</f>
        <v>1560</v>
      </c>
      <c r="W88" s="72" t="n">
        <f aca="false">V88+W12</f>
        <v>1560</v>
      </c>
      <c r="X88" s="72" t="n">
        <f aca="false">W88+X12</f>
        <v>1560</v>
      </c>
      <c r="Y88" s="72" t="n">
        <f aca="false">X88+Y12</f>
        <v>1560</v>
      </c>
      <c r="Z88" s="72" t="n">
        <f aca="false">Y88+Z12</f>
        <v>1560</v>
      </c>
      <c r="AA88" s="72" t="n">
        <f aca="false">Z88+AA12</f>
        <v>1560</v>
      </c>
      <c r="AB88" s="72" t="n">
        <f aca="false">AA88+AB12</f>
        <v>1560</v>
      </c>
    </row>
    <row r="89" customFormat="false" ht="15" hidden="false" customHeight="false" outlineLevel="0" collapsed="false">
      <c r="A89" s="29" t="s">
        <v>852</v>
      </c>
      <c r="B89" s="60" t="s">
        <v>853</v>
      </c>
      <c r="C89" s="66" t="n">
        <f aca="false">P89</f>
        <v>1560</v>
      </c>
      <c r="D89" s="66" t="n">
        <f aca="false">AB89</f>
        <v>1560</v>
      </c>
      <c r="E89" s="67" t="n">
        <f aca="false">IF(E$5="A",IF(E88+N(Inputs_Actuals!E28)&lt;=0,Engagement_Register!$AM$10,E88+N(Inputs_Actuals!E28)),Engagement_Register!$AM$10)</f>
        <v>1480</v>
      </c>
      <c r="F89" s="67" t="n">
        <f aca="false">IF(F$5="A",IF(F88+N(Inputs_Actuals!F28)&lt;=0,Engagement_Register!$AM$10,F88+N(Inputs_Actuals!F28)),Engagement_Register!$AM$10)</f>
        <v>1480</v>
      </c>
      <c r="G89" s="67" t="n">
        <f aca="false">IF(G$5="A",IF(G88+N(Inputs_Actuals!G28)&lt;=0,Engagement_Register!$AM$10,G88+N(Inputs_Actuals!G28)),Engagement_Register!$AM$10)</f>
        <v>1560</v>
      </c>
      <c r="H89" s="67" t="n">
        <f aca="false">IF(H$5="A",IF(H88+N(Inputs_Actuals!H28)&lt;=0,Engagement_Register!$AM$10,H88+N(Inputs_Actuals!H28)),Engagement_Register!$AM$10)</f>
        <v>1560</v>
      </c>
      <c r="I89" s="67" t="n">
        <f aca="false">IF(I$5="A",IF(I88+N(Inputs_Actuals!I28)&lt;=0,Engagement_Register!$AM$10,I88+N(Inputs_Actuals!I28)),Engagement_Register!$AM$10)</f>
        <v>1560</v>
      </c>
      <c r="J89" s="67" t="n">
        <f aca="false">IF(J$5="A",IF(J88+N(Inputs_Actuals!J28)&lt;=0,Engagement_Register!$AM$10,J88+N(Inputs_Actuals!J28)),Engagement_Register!$AM$10)</f>
        <v>1560</v>
      </c>
      <c r="K89" s="67" t="n">
        <f aca="false">IF(K$5="A",IF(K88+N(Inputs_Actuals!K28)&lt;=0,Engagement_Register!$AM$10,K88+N(Inputs_Actuals!K28)),Engagement_Register!$AM$10)</f>
        <v>1560</v>
      </c>
      <c r="L89" s="67" t="n">
        <f aca="false">IF(L$5="A",IF(L88+N(Inputs_Actuals!L28)&lt;=0,Engagement_Register!$AM$10,L88+N(Inputs_Actuals!L28)),Engagement_Register!$AM$10)</f>
        <v>1560</v>
      </c>
      <c r="M89" s="67" t="n">
        <f aca="false">IF(M$5="A",IF(M88+N(Inputs_Actuals!M28)&lt;=0,Engagement_Register!$AM$10,M88+N(Inputs_Actuals!M28)),Engagement_Register!$AM$10)</f>
        <v>1560</v>
      </c>
      <c r="N89" s="67" t="n">
        <f aca="false">IF(N$5="A",IF(N88+N(Inputs_Actuals!N28)&lt;=0,Engagement_Register!$AM$10,N88+N(Inputs_Actuals!N28)),Engagement_Register!$AM$10)</f>
        <v>1560</v>
      </c>
      <c r="O89" s="67" t="n">
        <f aca="false">IF(O$5="A",IF(O88+N(Inputs_Actuals!O28)&lt;=0,Engagement_Register!$AM$10,O88+N(Inputs_Actuals!O28)),Engagement_Register!$AM$10)</f>
        <v>1560</v>
      </c>
      <c r="P89" s="67" t="n">
        <f aca="false">IF(P$5="A",IF(P88+N(Inputs_Actuals!P28)&lt;=0,Engagement_Register!$AM$10,P88+N(Inputs_Actuals!P28)),Engagement_Register!$AM$10)</f>
        <v>1560</v>
      </c>
      <c r="Q89" s="67" t="n">
        <f aca="false">IF(Q$5="A",IF(Q88+N(Inputs_Actuals!Q28)&lt;=0,Engagement_Register!$AM$10,Q88+N(Inputs_Actuals!Q28)),Engagement_Register!$AM$10)</f>
        <v>1560</v>
      </c>
      <c r="R89" s="67" t="n">
        <f aca="false">IF(R$5="A",IF(R88+N(Inputs_Actuals!R28)&lt;=0,Engagement_Register!$AM$10,R88+N(Inputs_Actuals!R28)),Engagement_Register!$AM$10)</f>
        <v>1560</v>
      </c>
      <c r="S89" s="67" t="n">
        <f aca="false">IF(S$5="A",IF(S88+N(Inputs_Actuals!S28)&lt;=0,Engagement_Register!$AM$10,S88+N(Inputs_Actuals!S28)),Engagement_Register!$AM$10)</f>
        <v>1560</v>
      </c>
      <c r="T89" s="67" t="n">
        <f aca="false">IF(T$5="A",IF(T88+N(Inputs_Actuals!T28)&lt;=0,Engagement_Register!$AM$10,T88+N(Inputs_Actuals!T28)),Engagement_Register!$AM$10)</f>
        <v>1560</v>
      </c>
      <c r="U89" s="67" t="n">
        <f aca="false">IF(U$5="A",IF(U88+N(Inputs_Actuals!U28)&lt;=0,Engagement_Register!$AM$10,U88+N(Inputs_Actuals!U28)),Engagement_Register!$AM$10)</f>
        <v>1560</v>
      </c>
      <c r="V89" s="67" t="n">
        <f aca="false">IF(V$5="A",IF(V88+N(Inputs_Actuals!V28)&lt;=0,Engagement_Register!$AM$10,V88+N(Inputs_Actuals!V28)),Engagement_Register!$AM$10)</f>
        <v>1560</v>
      </c>
      <c r="W89" s="67" t="n">
        <f aca="false">IF(W$5="A",IF(W88+N(Inputs_Actuals!W28)&lt;=0,Engagement_Register!$AM$10,W88+N(Inputs_Actuals!W28)),Engagement_Register!$AM$10)</f>
        <v>1560</v>
      </c>
      <c r="X89" s="67" t="n">
        <f aca="false">IF(X$5="A",IF(X88+N(Inputs_Actuals!X28)&lt;=0,Engagement_Register!$AM$10,X88+N(Inputs_Actuals!X28)),Engagement_Register!$AM$10)</f>
        <v>1560</v>
      </c>
      <c r="Y89" s="67" t="n">
        <f aca="false">IF(Y$5="A",IF(Y88+N(Inputs_Actuals!Y28)&lt;=0,Engagement_Register!$AM$10,Y88+N(Inputs_Actuals!Y28)),Engagement_Register!$AM$10)</f>
        <v>1560</v>
      </c>
      <c r="Z89" s="67" t="n">
        <f aca="false">IF(Z$5="A",IF(Z88+N(Inputs_Actuals!Z28)&lt;=0,Engagement_Register!$AM$10,Z88+N(Inputs_Actuals!Z28)),Engagement_Register!$AM$10)</f>
        <v>1560</v>
      </c>
      <c r="AA89" s="67" t="n">
        <f aca="false">IF(AA$5="A",IF(AA88+N(Inputs_Actuals!AA28)&lt;=0,Engagement_Register!$AM$10,AA88+N(Inputs_Actuals!AA28)),Engagement_Register!$AM$10)</f>
        <v>1560</v>
      </c>
      <c r="AB89" s="67" t="n">
        <f aca="false">IF(AB$5="A",IF(AB88+N(Inputs_Actuals!AB28)&lt;=0,Engagement_Register!$AM$10,AB88+N(Inputs_Actuals!AB28)),Engagement_Register!$AM$10)</f>
        <v>1560</v>
      </c>
    </row>
    <row r="90" customFormat="false" ht="15" hidden="false" customHeight="false" outlineLevel="0" collapsed="false">
      <c r="A90" s="29" t="s">
        <v>854</v>
      </c>
      <c r="B90" s="60" t="s">
        <v>855</v>
      </c>
      <c r="C90" s="63" t="n">
        <f aca="false">P90</f>
        <v>1</v>
      </c>
      <c r="D90" s="63" t="n">
        <f aca="false">AB90</f>
        <v>1</v>
      </c>
      <c r="E90" s="64" t="n">
        <f aca="false">IF(E89&lt;=0,0,MIN(1,E88/E89))</f>
        <v>0.435540540540541</v>
      </c>
      <c r="F90" s="64" t="n">
        <f aca="false">IF(F89&lt;=0,0,MIN(1,F88/F89))</f>
        <v>0.579256756756757</v>
      </c>
      <c r="G90" s="64" t="n">
        <f aca="false">IF(G89&lt;=0,0,MIN(1,G88/G89))</f>
        <v>0.747435897435897</v>
      </c>
      <c r="H90" s="64" t="n">
        <f aca="false">IF(H89&lt;=0,0,MIN(1,H88/H89))</f>
        <v>0.886602564102564</v>
      </c>
      <c r="I90" s="64" t="n">
        <f aca="false">IF(I89&lt;=0,0,MIN(1,I88/I89))</f>
        <v>1</v>
      </c>
      <c r="J90" s="64" t="n">
        <f aca="false">IF(J89&lt;=0,0,MIN(1,J88/J89))</f>
        <v>1</v>
      </c>
      <c r="K90" s="64" t="n">
        <f aca="false">IF(K89&lt;=0,0,MIN(1,K88/K89))</f>
        <v>1</v>
      </c>
      <c r="L90" s="64" t="n">
        <f aca="false">IF(L89&lt;=0,0,MIN(1,L88/L89))</f>
        <v>1</v>
      </c>
      <c r="M90" s="64" t="n">
        <f aca="false">IF(M89&lt;=0,0,MIN(1,M88/M89))</f>
        <v>1</v>
      </c>
      <c r="N90" s="64" t="n">
        <f aca="false">IF(N89&lt;=0,0,MIN(1,N88/N89))</f>
        <v>1</v>
      </c>
      <c r="O90" s="64" t="n">
        <f aca="false">IF(O89&lt;=0,0,MIN(1,O88/O89))</f>
        <v>1</v>
      </c>
      <c r="P90" s="64" t="n">
        <f aca="false">IF(P89&lt;=0,0,MIN(1,P88/P89))</f>
        <v>1</v>
      </c>
      <c r="Q90" s="64" t="n">
        <f aca="false">IF(Q89&lt;=0,0,MIN(1,Q88/Q89))</f>
        <v>1</v>
      </c>
      <c r="R90" s="64" t="n">
        <f aca="false">IF(R89&lt;=0,0,MIN(1,R88/R89))</f>
        <v>1</v>
      </c>
      <c r="S90" s="64" t="n">
        <f aca="false">IF(S89&lt;=0,0,MIN(1,S88/S89))</f>
        <v>1</v>
      </c>
      <c r="T90" s="64" t="n">
        <f aca="false">IF(T89&lt;=0,0,MIN(1,T88/T89))</f>
        <v>1</v>
      </c>
      <c r="U90" s="64" t="n">
        <f aca="false">IF(U89&lt;=0,0,MIN(1,U88/U89))</f>
        <v>1</v>
      </c>
      <c r="V90" s="64" t="n">
        <f aca="false">IF(V89&lt;=0,0,MIN(1,V88/V89))</f>
        <v>1</v>
      </c>
      <c r="W90" s="64" t="n">
        <f aca="false">IF(W89&lt;=0,0,MIN(1,W88/W89))</f>
        <v>1</v>
      </c>
      <c r="X90" s="64" t="n">
        <f aca="false">IF(X89&lt;=0,0,MIN(1,X88/X89))</f>
        <v>1</v>
      </c>
      <c r="Y90" s="64" t="n">
        <f aca="false">IF(Y89&lt;=0,0,MIN(1,Y88/Y89))</f>
        <v>1</v>
      </c>
      <c r="Z90" s="64" t="n">
        <f aca="false">IF(Z89&lt;=0,0,MIN(1,Z88/Z89))</f>
        <v>1</v>
      </c>
      <c r="AA90" s="64" t="n">
        <f aca="false">IF(AA89&lt;=0,0,MIN(1,AA88/AA89))</f>
        <v>1</v>
      </c>
      <c r="AB90" s="64" t="n">
        <f aca="false">IF(AB89&lt;=0,0,MIN(1,AB88/AB89))</f>
        <v>1</v>
      </c>
    </row>
    <row r="91" customFormat="false" ht="15" hidden="false" customHeight="false" outlineLevel="0" collapsed="false">
      <c r="A91" s="29" t="s">
        <v>833</v>
      </c>
      <c r="B91" s="60" t="s">
        <v>834</v>
      </c>
      <c r="C91" s="61" t="n">
        <f aca="false">SUM(E91:P91)</f>
        <v>232507.64</v>
      </c>
      <c r="D91" s="61" t="n">
        <f aca="false">SUM(Q91:AB91)</f>
        <v>0</v>
      </c>
      <c r="E91" s="62" t="n">
        <f aca="false">E12*Engagement_Register!$AD$10*Assumptions!E$194</f>
        <v>43386</v>
      </c>
      <c r="F91" s="62" t="n">
        <f aca="false">F12*Engagement_Register!$AD$10*Assumptions!F$194</f>
        <v>43943.82</v>
      </c>
      <c r="G91" s="62" t="n">
        <f aca="false">G12*Engagement_Register!$AD$10*Assumptions!G$194</f>
        <v>63777.42</v>
      </c>
      <c r="H91" s="62" t="n">
        <f aca="false">H12*Engagement_Register!$AD$10*Assumptions!H$194</f>
        <v>44852.86</v>
      </c>
      <c r="I91" s="62" t="n">
        <f aca="false">I12*Engagement_Register!$AD$10*Assumptions!I$194</f>
        <v>36547.54</v>
      </c>
      <c r="J91" s="62" t="n">
        <f aca="false">J12*Engagement_Register!$AD$10*Assumptions!J$194</f>
        <v>0</v>
      </c>
      <c r="K91" s="62" t="n">
        <f aca="false">K12*Engagement_Register!$AD$10*Assumptions!K$194</f>
        <v>0</v>
      </c>
      <c r="L91" s="62" t="n">
        <f aca="false">L12*Engagement_Register!$AD$10*Assumptions!L$194</f>
        <v>0</v>
      </c>
      <c r="M91" s="62" t="n">
        <f aca="false">M12*Engagement_Register!$AD$10*Assumptions!M$194</f>
        <v>0</v>
      </c>
      <c r="N91" s="62" t="n">
        <f aca="false">N12*Engagement_Register!$AD$10*Assumptions!N$194</f>
        <v>0</v>
      </c>
      <c r="O91" s="62" t="n">
        <f aca="false">O12*Engagement_Register!$AD$10*Assumptions!O$194</f>
        <v>0</v>
      </c>
      <c r="P91" s="62" t="n">
        <f aca="false">P12*Engagement_Register!$AD$10*Assumptions!P$194</f>
        <v>0</v>
      </c>
      <c r="Q91" s="62" t="n">
        <f aca="false">Q12*Engagement_Register!$AD$10*Assumptions!Q$194</f>
        <v>0</v>
      </c>
      <c r="R91" s="62" t="n">
        <f aca="false">R12*Engagement_Register!$AD$10*Assumptions!R$194</f>
        <v>0</v>
      </c>
      <c r="S91" s="62" t="n">
        <f aca="false">S12*Engagement_Register!$AD$10*Assumptions!S$194</f>
        <v>0</v>
      </c>
      <c r="T91" s="62" t="n">
        <f aca="false">T12*Engagement_Register!$AD$10*Assumptions!T$194</f>
        <v>0</v>
      </c>
      <c r="U91" s="62" t="n">
        <f aca="false">U12*Engagement_Register!$AD$10*Assumptions!U$194</f>
        <v>0</v>
      </c>
      <c r="V91" s="62" t="n">
        <f aca="false">V12*Engagement_Register!$AD$10*Assumptions!V$194</f>
        <v>0</v>
      </c>
      <c r="W91" s="62" t="n">
        <f aca="false">W12*Engagement_Register!$AD$10*Assumptions!W$194</f>
        <v>0</v>
      </c>
      <c r="X91" s="62" t="n">
        <f aca="false">X12*Engagement_Register!$AD$10*Assumptions!X$194</f>
        <v>0</v>
      </c>
      <c r="Y91" s="62" t="n">
        <f aca="false">Y12*Engagement_Register!$AD$10*Assumptions!Y$194</f>
        <v>0</v>
      </c>
      <c r="Z91" s="62" t="n">
        <f aca="false">Z12*Engagement_Register!$AD$10*Assumptions!Z$194</f>
        <v>0</v>
      </c>
      <c r="AA91" s="62" t="n">
        <f aca="false">AA12*Engagement_Register!$AD$10*Assumptions!AA$194</f>
        <v>0</v>
      </c>
      <c r="AB91" s="62" t="n">
        <f aca="false">AB12*Engagement_Register!$AD$10*Assumptions!AB$194</f>
        <v>0</v>
      </c>
    </row>
    <row r="92" customFormat="false" ht="15" hidden="false" customHeight="false" outlineLevel="0" collapsed="false">
      <c r="A92" s="29" t="s">
        <v>835</v>
      </c>
      <c r="B92" s="60" t="s">
        <v>865</v>
      </c>
      <c r="C92" s="61" t="n">
        <f aca="false">SUM(E92:P92)</f>
        <v>220517.567567568</v>
      </c>
      <c r="D92" s="61" t="n">
        <f aca="false">SUM(Q92:AB92)</f>
        <v>0</v>
      </c>
      <c r="E92" s="62" t="n">
        <f aca="false">E12*Engagement_Register!$AE$10</f>
        <v>41148.6486486487</v>
      </c>
      <c r="F92" s="62" t="n">
        <f aca="false">F12*Engagement_Register!$AE$10</f>
        <v>41677.7027027027</v>
      </c>
      <c r="G92" s="62" t="n">
        <f aca="false">G12*Engagement_Register!$AE$10</f>
        <v>60488.5135135135</v>
      </c>
      <c r="H92" s="62" t="n">
        <f aca="false">H12*Engagement_Register!$AE$10</f>
        <v>42539.8648648649</v>
      </c>
      <c r="I92" s="62" t="n">
        <f aca="false">I12*Engagement_Register!$AE$10</f>
        <v>34662.8378378378</v>
      </c>
      <c r="J92" s="62" t="n">
        <f aca="false">J12*Engagement_Register!$AE$10</f>
        <v>0</v>
      </c>
      <c r="K92" s="62" t="n">
        <f aca="false">K12*Engagement_Register!$AE$10</f>
        <v>0</v>
      </c>
      <c r="L92" s="62" t="n">
        <f aca="false">L12*Engagement_Register!$AE$10</f>
        <v>0</v>
      </c>
      <c r="M92" s="62" t="n">
        <f aca="false">M12*Engagement_Register!$AE$10</f>
        <v>0</v>
      </c>
      <c r="N92" s="62" t="n">
        <f aca="false">N12*Engagement_Register!$AE$10</f>
        <v>0</v>
      </c>
      <c r="O92" s="62" t="n">
        <f aca="false">O12*Engagement_Register!$AE$10</f>
        <v>0</v>
      </c>
      <c r="P92" s="62" t="n">
        <f aca="false">P12*Engagement_Register!$AE$10</f>
        <v>0</v>
      </c>
      <c r="Q92" s="62" t="n">
        <f aca="false">Q12*Engagement_Register!$AE$10</f>
        <v>0</v>
      </c>
      <c r="R92" s="62" t="n">
        <f aca="false">R12*Engagement_Register!$AE$10</f>
        <v>0</v>
      </c>
      <c r="S92" s="62" t="n">
        <f aca="false">S12*Engagement_Register!$AE$10</f>
        <v>0</v>
      </c>
      <c r="T92" s="62" t="n">
        <f aca="false">T12*Engagement_Register!$AE$10</f>
        <v>0</v>
      </c>
      <c r="U92" s="62" t="n">
        <f aca="false">U12*Engagement_Register!$AE$10</f>
        <v>0</v>
      </c>
      <c r="V92" s="62" t="n">
        <f aca="false">V12*Engagement_Register!$AE$10</f>
        <v>0</v>
      </c>
      <c r="W92" s="62" t="n">
        <f aca="false">W12*Engagement_Register!$AE$10</f>
        <v>0</v>
      </c>
      <c r="X92" s="62" t="n">
        <f aca="false">X12*Engagement_Register!$AE$10</f>
        <v>0</v>
      </c>
      <c r="Y92" s="62" t="n">
        <f aca="false">Y12*Engagement_Register!$AE$10</f>
        <v>0</v>
      </c>
      <c r="Z92" s="62" t="n">
        <f aca="false">Z12*Engagement_Register!$AE$10</f>
        <v>0</v>
      </c>
      <c r="AA92" s="62" t="n">
        <f aca="false">AA12*Engagement_Register!$AE$10</f>
        <v>0</v>
      </c>
      <c r="AB92" s="62" t="n">
        <f aca="false">AB12*Engagement_Register!$AE$10</f>
        <v>0</v>
      </c>
    </row>
    <row r="93" customFormat="false" ht="15" hidden="false" customHeight="false" outlineLevel="0" collapsed="false">
      <c r="A93" s="29" t="s">
        <v>742</v>
      </c>
      <c r="B93" s="60" t="s">
        <v>866</v>
      </c>
      <c r="C93" s="61" t="n">
        <f aca="false">P93</f>
        <v>290000</v>
      </c>
      <c r="D93" s="61" t="n">
        <f aca="false">AB93</f>
        <v>290000</v>
      </c>
      <c r="E93" s="62" t="n">
        <f aca="false">IF(E$5="A",Engagement_Register!$U$10+Inputs_Actuals!E29,Engagement_Register!$AP$10*E90)</f>
        <v>126306.76</v>
      </c>
      <c r="F93" s="62" t="n">
        <f aca="false">IF(F$5="A",E93+Inputs_Actuals!F29,Engagement_Register!$AP$10*F90)</f>
        <v>167984.46</v>
      </c>
      <c r="G93" s="62" t="n">
        <f aca="false">IF(G$5="A",F93+Inputs_Actuals!G29,Engagement_Register!$AP$10*G90)</f>
        <v>216756.41</v>
      </c>
      <c r="H93" s="62" t="n">
        <f aca="false">IF(H$5="A",G93+Inputs_Actuals!H29,Engagement_Register!$AP$10*H90)</f>
        <v>257114.74</v>
      </c>
      <c r="I93" s="62" t="n">
        <f aca="false">IF(I$5="A",H93+Inputs_Actuals!I29,Engagement_Register!$AP$10*I90)</f>
        <v>290000</v>
      </c>
      <c r="J93" s="62" t="n">
        <f aca="false">IF(J$5="A",I93+Inputs_Actuals!J29,Engagement_Register!$AP$10*J90)</f>
        <v>290000</v>
      </c>
      <c r="K93" s="62" t="n">
        <f aca="false">IF(K$5="A",J93+Inputs_Actuals!K29,Engagement_Register!$AP$10*K90)</f>
        <v>290000</v>
      </c>
      <c r="L93" s="62" t="n">
        <f aca="false">IF(L$5="A",K93+Inputs_Actuals!L29,Engagement_Register!$AP$10*L90)</f>
        <v>290000</v>
      </c>
      <c r="M93" s="62" t="n">
        <f aca="false">IF(M$5="A",L93+Inputs_Actuals!M29,Engagement_Register!$AP$10*M90)</f>
        <v>290000</v>
      </c>
      <c r="N93" s="62" t="n">
        <f aca="false">IF(N$5="A",M93+Inputs_Actuals!N29,Engagement_Register!$AP$10*N90)</f>
        <v>290000</v>
      </c>
      <c r="O93" s="62" t="n">
        <f aca="false">IF(O$5="A",N93+Inputs_Actuals!O29,Engagement_Register!$AP$10*O90)</f>
        <v>290000</v>
      </c>
      <c r="P93" s="62" t="n">
        <f aca="false">IF(P$5="A",O93+Inputs_Actuals!P29,Engagement_Register!$AP$10*P90)</f>
        <v>290000</v>
      </c>
      <c r="Q93" s="62" t="n">
        <f aca="false">IF(Q$5="A",P93+Inputs_Actuals!Q29,Engagement_Register!$AP$10*Q90)</f>
        <v>290000</v>
      </c>
      <c r="R93" s="62" t="n">
        <f aca="false">IF(R$5="A",Q93+Inputs_Actuals!R29,Engagement_Register!$AP$10*R90)</f>
        <v>290000</v>
      </c>
      <c r="S93" s="62" t="n">
        <f aca="false">IF(S$5="A",R93+Inputs_Actuals!S29,Engagement_Register!$AP$10*S90)</f>
        <v>290000</v>
      </c>
      <c r="T93" s="62" t="n">
        <f aca="false">IF(T$5="A",S93+Inputs_Actuals!T29,Engagement_Register!$AP$10*T90)</f>
        <v>290000</v>
      </c>
      <c r="U93" s="62" t="n">
        <f aca="false">IF(U$5="A",T93+Inputs_Actuals!U29,Engagement_Register!$AP$10*U90)</f>
        <v>290000</v>
      </c>
      <c r="V93" s="62" t="n">
        <f aca="false">IF(V$5="A",U93+Inputs_Actuals!V29,Engagement_Register!$AP$10*V90)</f>
        <v>290000</v>
      </c>
      <c r="W93" s="62" t="n">
        <f aca="false">IF(W$5="A",V93+Inputs_Actuals!W29,Engagement_Register!$AP$10*W90)</f>
        <v>290000</v>
      </c>
      <c r="X93" s="62" t="n">
        <f aca="false">IF(X$5="A",W93+Inputs_Actuals!X29,Engagement_Register!$AP$10*X90)</f>
        <v>290000</v>
      </c>
      <c r="Y93" s="62" t="n">
        <f aca="false">IF(Y$5="A",X93+Inputs_Actuals!Y29,Engagement_Register!$AP$10*Y90)</f>
        <v>290000</v>
      </c>
      <c r="Z93" s="62" t="n">
        <f aca="false">IF(Z$5="A",Y93+Inputs_Actuals!Z29,Engagement_Register!$AP$10*Z90)</f>
        <v>290000</v>
      </c>
      <c r="AA93" s="62" t="n">
        <f aca="false">IF(AA$5="A",Z93+Inputs_Actuals!AA29,Engagement_Register!$AP$10*AA90)</f>
        <v>290000</v>
      </c>
      <c r="AB93" s="62" t="n">
        <f aca="false">IF(AB$5="A",AA93+Inputs_Actuals!AB29,Engagement_Register!$AP$10*AB90)</f>
        <v>290000</v>
      </c>
    </row>
    <row r="94" customFormat="false" ht="15" hidden="false" customHeight="false" outlineLevel="0" collapsed="false">
      <c r="A94" s="68" t="s">
        <v>349</v>
      </c>
      <c r="B94" s="69" t="s">
        <v>859</v>
      </c>
      <c r="C94" s="70" t="n">
        <f aca="false">SUM(E94:P94)</f>
        <v>204841.89</v>
      </c>
      <c r="D94" s="70" t="n">
        <f aca="false">SUM(Q94:AB94)</f>
        <v>0</v>
      </c>
      <c r="E94" s="74" t="n">
        <f aca="false">E93-Engagement_Register!$U$10</f>
        <v>41148.65</v>
      </c>
      <c r="F94" s="70" t="n">
        <f aca="false">F93-E93</f>
        <v>41677.7</v>
      </c>
      <c r="G94" s="70" t="n">
        <f aca="false">G93-F93</f>
        <v>48771.95</v>
      </c>
      <c r="H94" s="70" t="n">
        <f aca="false">H93-G93</f>
        <v>40358.33</v>
      </c>
      <c r="I94" s="70" t="n">
        <f aca="false">I93-H93</f>
        <v>32885.26</v>
      </c>
      <c r="J94" s="70" t="n">
        <f aca="false">J93-I93</f>
        <v>0</v>
      </c>
      <c r="K94" s="70" t="n">
        <f aca="false">K93-J93</f>
        <v>0</v>
      </c>
      <c r="L94" s="70" t="n">
        <f aca="false">L93-K93</f>
        <v>0</v>
      </c>
      <c r="M94" s="70" t="n">
        <f aca="false">M93-L93</f>
        <v>0</v>
      </c>
      <c r="N94" s="70" t="n">
        <f aca="false">N93-M93</f>
        <v>0</v>
      </c>
      <c r="O94" s="70" t="n">
        <f aca="false">O93-N93</f>
        <v>0</v>
      </c>
      <c r="P94" s="70" t="n">
        <f aca="false">P93-O93</f>
        <v>0</v>
      </c>
      <c r="Q94" s="70" t="n">
        <f aca="false">Q93-P93</f>
        <v>0</v>
      </c>
      <c r="R94" s="70" t="n">
        <f aca="false">R93-Q93</f>
        <v>0</v>
      </c>
      <c r="S94" s="70" t="n">
        <f aca="false">S93-R93</f>
        <v>0</v>
      </c>
      <c r="T94" s="70" t="n">
        <f aca="false">T93-S93</f>
        <v>0</v>
      </c>
      <c r="U94" s="70" t="n">
        <f aca="false">U93-T93</f>
        <v>0</v>
      </c>
      <c r="V94" s="70" t="n">
        <f aca="false">V93-U93</f>
        <v>0</v>
      </c>
      <c r="W94" s="70" t="n">
        <f aca="false">W93-V93</f>
        <v>0</v>
      </c>
      <c r="X94" s="70" t="n">
        <f aca="false">X93-W93</f>
        <v>0</v>
      </c>
      <c r="Y94" s="70" t="n">
        <f aca="false">Y93-X93</f>
        <v>0</v>
      </c>
      <c r="Z94" s="70" t="n">
        <f aca="false">Z93-Y93</f>
        <v>0</v>
      </c>
      <c r="AA94" s="70" t="n">
        <f aca="false">AA93-Z93</f>
        <v>0</v>
      </c>
      <c r="AB94" s="70" t="n">
        <f aca="false">AB93-AA93</f>
        <v>0</v>
      </c>
    </row>
    <row r="95" customFormat="false" ht="15" hidden="false" customHeight="false" outlineLevel="0" collapsed="false">
      <c r="A95" s="29" t="s">
        <v>867</v>
      </c>
      <c r="B95" s="60" t="s">
        <v>868</v>
      </c>
      <c r="C95" s="61" t="n">
        <f aca="false">P95</f>
        <v>290000</v>
      </c>
      <c r="D95" s="61" t="n">
        <f aca="false">AB95</f>
        <v>290000</v>
      </c>
      <c r="E95" s="62" t="n">
        <f aca="false">Engagement_Register!$AP$10*(Assumptions!$C$146*(Assumptions!E$187&gt;=Engagement_Register!$AG$10)+Assumptions!$C$147*(Assumptions!E$187&gt;=Engagement_Register!$AI$10)+Assumptions!$C$148*(Assumptions!E$187&gt;=Engagement_Register!$AH$10))</f>
        <v>87000</v>
      </c>
      <c r="F95" s="62" t="n">
        <f aca="false">Engagement_Register!$AP$10*(Assumptions!$C$146*(Assumptions!F$187&gt;=Engagement_Register!$AG$10)+Assumptions!$C$147*(Assumptions!F$187&gt;=Engagement_Register!$AI$10)+Assumptions!$C$148*(Assumptions!F$187&gt;=Engagement_Register!$AH$10))</f>
        <v>203000</v>
      </c>
      <c r="G95" s="62" t="n">
        <f aca="false">Engagement_Register!$AP$10*(Assumptions!$C$146*(Assumptions!G$187&gt;=Engagement_Register!$AG$10)+Assumptions!$C$147*(Assumptions!G$187&gt;=Engagement_Register!$AI$10)+Assumptions!$C$148*(Assumptions!G$187&gt;=Engagement_Register!$AH$10))</f>
        <v>203000</v>
      </c>
      <c r="H95" s="62" t="n">
        <f aca="false">Engagement_Register!$AP$10*(Assumptions!$C$146*(Assumptions!H$187&gt;=Engagement_Register!$AG$10)+Assumptions!$C$147*(Assumptions!H$187&gt;=Engagement_Register!$AI$10)+Assumptions!$C$148*(Assumptions!H$187&gt;=Engagement_Register!$AH$10))</f>
        <v>203000</v>
      </c>
      <c r="I95" s="62" t="n">
        <f aca="false">Engagement_Register!$AP$10*(Assumptions!$C$146*(Assumptions!I$187&gt;=Engagement_Register!$AG$10)+Assumptions!$C$147*(Assumptions!I$187&gt;=Engagement_Register!$AI$10)+Assumptions!$C$148*(Assumptions!I$187&gt;=Engagement_Register!$AH$10))</f>
        <v>290000</v>
      </c>
      <c r="J95" s="62" t="n">
        <f aca="false">Engagement_Register!$AP$10*(Assumptions!$C$146*(Assumptions!J$187&gt;=Engagement_Register!$AG$10)+Assumptions!$C$147*(Assumptions!J$187&gt;=Engagement_Register!$AI$10)+Assumptions!$C$148*(Assumptions!J$187&gt;=Engagement_Register!$AH$10))</f>
        <v>290000</v>
      </c>
      <c r="K95" s="62" t="n">
        <f aca="false">Engagement_Register!$AP$10*(Assumptions!$C$146*(Assumptions!K$187&gt;=Engagement_Register!$AG$10)+Assumptions!$C$147*(Assumptions!K$187&gt;=Engagement_Register!$AI$10)+Assumptions!$C$148*(Assumptions!K$187&gt;=Engagement_Register!$AH$10))</f>
        <v>290000</v>
      </c>
      <c r="L95" s="62" t="n">
        <f aca="false">Engagement_Register!$AP$10*(Assumptions!$C$146*(Assumptions!L$187&gt;=Engagement_Register!$AG$10)+Assumptions!$C$147*(Assumptions!L$187&gt;=Engagement_Register!$AI$10)+Assumptions!$C$148*(Assumptions!L$187&gt;=Engagement_Register!$AH$10))</f>
        <v>290000</v>
      </c>
      <c r="M95" s="62" t="n">
        <f aca="false">Engagement_Register!$AP$10*(Assumptions!$C$146*(Assumptions!M$187&gt;=Engagement_Register!$AG$10)+Assumptions!$C$147*(Assumptions!M$187&gt;=Engagement_Register!$AI$10)+Assumptions!$C$148*(Assumptions!M$187&gt;=Engagement_Register!$AH$10))</f>
        <v>290000</v>
      </c>
      <c r="N95" s="62" t="n">
        <f aca="false">Engagement_Register!$AP$10*(Assumptions!$C$146*(Assumptions!N$187&gt;=Engagement_Register!$AG$10)+Assumptions!$C$147*(Assumptions!N$187&gt;=Engagement_Register!$AI$10)+Assumptions!$C$148*(Assumptions!N$187&gt;=Engagement_Register!$AH$10))</f>
        <v>290000</v>
      </c>
      <c r="O95" s="62" t="n">
        <f aca="false">Engagement_Register!$AP$10*(Assumptions!$C$146*(Assumptions!O$187&gt;=Engagement_Register!$AG$10)+Assumptions!$C$147*(Assumptions!O$187&gt;=Engagement_Register!$AI$10)+Assumptions!$C$148*(Assumptions!O$187&gt;=Engagement_Register!$AH$10))</f>
        <v>290000</v>
      </c>
      <c r="P95" s="62" t="n">
        <f aca="false">Engagement_Register!$AP$10*(Assumptions!$C$146*(Assumptions!P$187&gt;=Engagement_Register!$AG$10)+Assumptions!$C$147*(Assumptions!P$187&gt;=Engagement_Register!$AI$10)+Assumptions!$C$148*(Assumptions!P$187&gt;=Engagement_Register!$AH$10))</f>
        <v>290000</v>
      </c>
      <c r="Q95" s="62" t="n">
        <f aca="false">Engagement_Register!$AP$10*(Assumptions!$C$146*(Assumptions!Q$187&gt;=Engagement_Register!$AG$10)+Assumptions!$C$147*(Assumptions!Q$187&gt;=Engagement_Register!$AI$10)+Assumptions!$C$148*(Assumptions!Q$187&gt;=Engagement_Register!$AH$10))</f>
        <v>290000</v>
      </c>
      <c r="R95" s="62" t="n">
        <f aca="false">Engagement_Register!$AP$10*(Assumptions!$C$146*(Assumptions!R$187&gt;=Engagement_Register!$AG$10)+Assumptions!$C$147*(Assumptions!R$187&gt;=Engagement_Register!$AI$10)+Assumptions!$C$148*(Assumptions!R$187&gt;=Engagement_Register!$AH$10))</f>
        <v>290000</v>
      </c>
      <c r="S95" s="62" t="n">
        <f aca="false">Engagement_Register!$AP$10*(Assumptions!$C$146*(Assumptions!S$187&gt;=Engagement_Register!$AG$10)+Assumptions!$C$147*(Assumptions!S$187&gt;=Engagement_Register!$AI$10)+Assumptions!$C$148*(Assumptions!S$187&gt;=Engagement_Register!$AH$10))</f>
        <v>290000</v>
      </c>
      <c r="T95" s="62" t="n">
        <f aca="false">Engagement_Register!$AP$10*(Assumptions!$C$146*(Assumptions!T$187&gt;=Engagement_Register!$AG$10)+Assumptions!$C$147*(Assumptions!T$187&gt;=Engagement_Register!$AI$10)+Assumptions!$C$148*(Assumptions!T$187&gt;=Engagement_Register!$AH$10))</f>
        <v>290000</v>
      </c>
      <c r="U95" s="62" t="n">
        <f aca="false">Engagement_Register!$AP$10*(Assumptions!$C$146*(Assumptions!U$187&gt;=Engagement_Register!$AG$10)+Assumptions!$C$147*(Assumptions!U$187&gt;=Engagement_Register!$AI$10)+Assumptions!$C$148*(Assumptions!U$187&gt;=Engagement_Register!$AH$10))</f>
        <v>290000</v>
      </c>
      <c r="V95" s="62" t="n">
        <f aca="false">Engagement_Register!$AP$10*(Assumptions!$C$146*(Assumptions!V$187&gt;=Engagement_Register!$AG$10)+Assumptions!$C$147*(Assumptions!V$187&gt;=Engagement_Register!$AI$10)+Assumptions!$C$148*(Assumptions!V$187&gt;=Engagement_Register!$AH$10))</f>
        <v>290000</v>
      </c>
      <c r="W95" s="62" t="n">
        <f aca="false">Engagement_Register!$AP$10*(Assumptions!$C$146*(Assumptions!W$187&gt;=Engagement_Register!$AG$10)+Assumptions!$C$147*(Assumptions!W$187&gt;=Engagement_Register!$AI$10)+Assumptions!$C$148*(Assumptions!W$187&gt;=Engagement_Register!$AH$10))</f>
        <v>290000</v>
      </c>
      <c r="X95" s="62" t="n">
        <f aca="false">Engagement_Register!$AP$10*(Assumptions!$C$146*(Assumptions!X$187&gt;=Engagement_Register!$AG$10)+Assumptions!$C$147*(Assumptions!X$187&gt;=Engagement_Register!$AI$10)+Assumptions!$C$148*(Assumptions!X$187&gt;=Engagement_Register!$AH$10))</f>
        <v>290000</v>
      </c>
      <c r="Y95" s="62" t="n">
        <f aca="false">Engagement_Register!$AP$10*(Assumptions!$C$146*(Assumptions!Y$187&gt;=Engagement_Register!$AG$10)+Assumptions!$C$147*(Assumptions!Y$187&gt;=Engagement_Register!$AI$10)+Assumptions!$C$148*(Assumptions!Y$187&gt;=Engagement_Register!$AH$10))</f>
        <v>290000</v>
      </c>
      <c r="Z95" s="62" t="n">
        <f aca="false">Engagement_Register!$AP$10*(Assumptions!$C$146*(Assumptions!Z$187&gt;=Engagement_Register!$AG$10)+Assumptions!$C$147*(Assumptions!Z$187&gt;=Engagement_Register!$AI$10)+Assumptions!$C$148*(Assumptions!Z$187&gt;=Engagement_Register!$AH$10))</f>
        <v>290000</v>
      </c>
      <c r="AA95" s="62" t="n">
        <f aca="false">Engagement_Register!$AP$10*(Assumptions!$C$146*(Assumptions!AA$187&gt;=Engagement_Register!$AG$10)+Assumptions!$C$147*(Assumptions!AA$187&gt;=Engagement_Register!$AI$10)+Assumptions!$C$148*(Assumptions!AA$187&gt;=Engagement_Register!$AH$10))</f>
        <v>290000</v>
      </c>
      <c r="AB95" s="62" t="n">
        <f aca="false">Engagement_Register!$AP$10*(Assumptions!$C$146*(Assumptions!AB$187&gt;=Engagement_Register!$AG$10)+Assumptions!$C$147*(Assumptions!AB$187&gt;=Engagement_Register!$AI$10)+Assumptions!$C$148*(Assumptions!AB$187&gt;=Engagement_Register!$AH$10))</f>
        <v>290000</v>
      </c>
    </row>
    <row r="96" customFormat="false" ht="15" hidden="false" customHeight="false" outlineLevel="0" collapsed="false">
      <c r="A96" s="29" t="s">
        <v>838</v>
      </c>
      <c r="B96" s="60" t="s">
        <v>869</v>
      </c>
      <c r="C96" s="61" t="n">
        <f aca="false">SUM(E96:P96)</f>
        <v>203000</v>
      </c>
      <c r="D96" s="61" t="n">
        <f aca="false">SUM(Q96:AB96)</f>
        <v>0</v>
      </c>
      <c r="E96" s="62" t="n">
        <f aca="false">IF(E$5="A",Inputs_Actuals!E30,MAX(0,E95-Engagement_Register!$V$10))</f>
        <v>0</v>
      </c>
      <c r="F96" s="62" t="n">
        <f aca="false">IF(F$5="A",Inputs_Actuals!F30,MAX(0,F95-E97))</f>
        <v>116000</v>
      </c>
      <c r="G96" s="62" t="n">
        <f aca="false">IF(G$5="A",Inputs_Actuals!G30,MAX(0,G95-F97))</f>
        <v>0</v>
      </c>
      <c r="H96" s="62" t="n">
        <f aca="false">IF(H$5="A",Inputs_Actuals!H30,MAX(0,H95-G97))</f>
        <v>0</v>
      </c>
      <c r="I96" s="62" t="n">
        <f aca="false">IF(I$5="A",Inputs_Actuals!I30,MAX(0,I95-H97))</f>
        <v>87000</v>
      </c>
      <c r="J96" s="62" t="n">
        <f aca="false">IF(J$5="A",Inputs_Actuals!J30,MAX(0,J95-I97))</f>
        <v>0</v>
      </c>
      <c r="K96" s="62" t="n">
        <f aca="false">IF(K$5="A",Inputs_Actuals!K30,MAX(0,K95-J97))</f>
        <v>0</v>
      </c>
      <c r="L96" s="62" t="n">
        <f aca="false">IF(L$5="A",Inputs_Actuals!L30,MAX(0,L95-K97))</f>
        <v>0</v>
      </c>
      <c r="M96" s="62" t="n">
        <f aca="false">IF(M$5="A",Inputs_Actuals!M30,MAX(0,M95-L97))</f>
        <v>0</v>
      </c>
      <c r="N96" s="62" t="n">
        <f aca="false">IF(N$5="A",Inputs_Actuals!N30,MAX(0,N95-M97))</f>
        <v>0</v>
      </c>
      <c r="O96" s="62" t="n">
        <f aca="false">IF(O$5="A",Inputs_Actuals!O30,MAX(0,O95-N97))</f>
        <v>0</v>
      </c>
      <c r="P96" s="62" t="n">
        <f aca="false">IF(P$5="A",Inputs_Actuals!P30,MAX(0,P95-O97))</f>
        <v>0</v>
      </c>
      <c r="Q96" s="62" t="n">
        <f aca="false">IF(Q$5="A",Inputs_Actuals!Q30,MAX(0,Q95-P97))</f>
        <v>0</v>
      </c>
      <c r="R96" s="62" t="n">
        <f aca="false">IF(R$5="A",Inputs_Actuals!R30,MAX(0,R95-Q97))</f>
        <v>0</v>
      </c>
      <c r="S96" s="62" t="n">
        <f aca="false">IF(S$5="A",Inputs_Actuals!S30,MAX(0,S95-R97))</f>
        <v>0</v>
      </c>
      <c r="T96" s="62" t="n">
        <f aca="false">IF(T$5="A",Inputs_Actuals!T30,MAX(0,T95-S97))</f>
        <v>0</v>
      </c>
      <c r="U96" s="62" t="n">
        <f aca="false">IF(U$5="A",Inputs_Actuals!U30,MAX(0,U95-T97))</f>
        <v>0</v>
      </c>
      <c r="V96" s="62" t="n">
        <f aca="false">IF(V$5="A",Inputs_Actuals!V30,MAX(0,V95-U97))</f>
        <v>0</v>
      </c>
      <c r="W96" s="62" t="n">
        <f aca="false">IF(W$5="A",Inputs_Actuals!W30,MAX(0,W95-V97))</f>
        <v>0</v>
      </c>
      <c r="X96" s="62" t="n">
        <f aca="false">IF(X$5="A",Inputs_Actuals!X30,MAX(0,X95-W97))</f>
        <v>0</v>
      </c>
      <c r="Y96" s="62" t="n">
        <f aca="false">IF(Y$5="A",Inputs_Actuals!Y30,MAX(0,Y95-X97))</f>
        <v>0</v>
      </c>
      <c r="Z96" s="62" t="n">
        <f aca="false">IF(Z$5="A",Inputs_Actuals!Z30,MAX(0,Z95-Y97))</f>
        <v>0</v>
      </c>
      <c r="AA96" s="62" t="n">
        <f aca="false">IF(AA$5="A",Inputs_Actuals!AA30,MAX(0,AA95-Z97))</f>
        <v>0</v>
      </c>
      <c r="AB96" s="62" t="n">
        <f aca="false">IF(AB$5="A",Inputs_Actuals!AB30,MAX(0,AB95-AA97))</f>
        <v>0</v>
      </c>
    </row>
    <row r="97" customFormat="false" ht="15" hidden="false" customHeight="false" outlineLevel="0" collapsed="false">
      <c r="A97" s="29" t="s">
        <v>840</v>
      </c>
      <c r="B97" s="60"/>
      <c r="C97" s="61" t="n">
        <f aca="false">P97</f>
        <v>290000</v>
      </c>
      <c r="D97" s="61" t="n">
        <f aca="false">AB97</f>
        <v>290000</v>
      </c>
      <c r="E97" s="62" t="n">
        <f aca="false">Engagement_Register!$V$10+E96</f>
        <v>87000</v>
      </c>
      <c r="F97" s="71" t="n">
        <f aca="false">E97+F96</f>
        <v>203000</v>
      </c>
      <c r="G97" s="71" t="n">
        <f aca="false">F97+G96</f>
        <v>203000</v>
      </c>
      <c r="H97" s="71" t="n">
        <f aca="false">G97+H96</f>
        <v>203000</v>
      </c>
      <c r="I97" s="71" t="n">
        <f aca="false">H97+I96</f>
        <v>290000</v>
      </c>
      <c r="J97" s="71" t="n">
        <f aca="false">I97+J96</f>
        <v>290000</v>
      </c>
      <c r="K97" s="71" t="n">
        <f aca="false">J97+K96</f>
        <v>290000</v>
      </c>
      <c r="L97" s="71" t="n">
        <f aca="false">K97+L96</f>
        <v>290000</v>
      </c>
      <c r="M97" s="71" t="n">
        <f aca="false">L97+M96</f>
        <v>290000</v>
      </c>
      <c r="N97" s="71" t="n">
        <f aca="false">M97+N96</f>
        <v>290000</v>
      </c>
      <c r="O97" s="71" t="n">
        <f aca="false">N97+O96</f>
        <v>290000</v>
      </c>
      <c r="P97" s="71" t="n">
        <f aca="false">O97+P96</f>
        <v>290000</v>
      </c>
      <c r="Q97" s="71" t="n">
        <f aca="false">P97+Q96</f>
        <v>290000</v>
      </c>
      <c r="R97" s="71" t="n">
        <f aca="false">Q97+R96</f>
        <v>290000</v>
      </c>
      <c r="S97" s="71" t="n">
        <f aca="false">R97+S96</f>
        <v>290000</v>
      </c>
      <c r="T97" s="71" t="n">
        <f aca="false">S97+T96</f>
        <v>290000</v>
      </c>
      <c r="U97" s="71" t="n">
        <f aca="false">T97+U96</f>
        <v>290000</v>
      </c>
      <c r="V97" s="71" t="n">
        <f aca="false">U97+V96</f>
        <v>290000</v>
      </c>
      <c r="W97" s="71" t="n">
        <f aca="false">V97+W96</f>
        <v>290000</v>
      </c>
      <c r="X97" s="71" t="n">
        <f aca="false">W97+X96</f>
        <v>290000</v>
      </c>
      <c r="Y97" s="71" t="n">
        <f aca="false">X97+Y96</f>
        <v>290000</v>
      </c>
      <c r="Z97" s="71" t="n">
        <f aca="false">Y97+Z96</f>
        <v>290000</v>
      </c>
      <c r="AA97" s="71" t="n">
        <f aca="false">Z97+AA96</f>
        <v>290000</v>
      </c>
      <c r="AB97" s="71" t="n">
        <f aca="false">AA97+AB96</f>
        <v>290000</v>
      </c>
    </row>
    <row r="98" customFormat="false" ht="15" hidden="false" customHeight="false" outlineLevel="0" collapsed="false">
      <c r="A98" s="29" t="s">
        <v>841</v>
      </c>
      <c r="B98" s="60" t="s">
        <v>842</v>
      </c>
      <c r="C98" s="61" t="n">
        <f aca="false">SUM(E98:P98)</f>
        <v>12653.04</v>
      </c>
      <c r="D98" s="61" t="n">
        <f aca="false">SUM(Q98:AB98)</f>
        <v>0</v>
      </c>
      <c r="E98" s="62" t="n">
        <f aca="false">IF(E$5="A",Inputs_Actuals!E31,E12*Engagement_Register!$N$10*Assumptions!E$195)</f>
        <v>2235.66</v>
      </c>
      <c r="F98" s="62" t="n">
        <f aca="false">IF(F$5="A",Inputs_Actuals!F31,F12*Engagement_Register!$N$10*Assumptions!F$195)</f>
        <v>2631.67</v>
      </c>
      <c r="G98" s="62" t="n">
        <f aca="false">IF(G$5="A",Inputs_Actuals!G31,G12*Engagement_Register!$N$10*Assumptions!G$195)</f>
        <v>3582.84</v>
      </c>
      <c r="H98" s="62" t="n">
        <f aca="false">IF(H$5="A",Inputs_Actuals!H31,H12*Engagement_Register!$N$10*Assumptions!H$195)</f>
        <v>1936.54</v>
      </c>
      <c r="I98" s="62" t="n">
        <f aca="false">IF(I$5="A",Inputs_Actuals!I31,I12*Engagement_Register!$N$10*Assumptions!I$195)</f>
        <v>2266.33</v>
      </c>
      <c r="J98" s="62" t="n">
        <f aca="false">IF(J$5="A",Inputs_Actuals!J31,J12*Engagement_Register!$N$10*Assumptions!J$195)</f>
        <v>0</v>
      </c>
      <c r="K98" s="62" t="n">
        <f aca="false">IF(K$5="A",Inputs_Actuals!K31,K12*Engagement_Register!$N$10*Assumptions!K$195)</f>
        <v>0</v>
      </c>
      <c r="L98" s="62" t="n">
        <f aca="false">IF(L$5="A",Inputs_Actuals!L31,L12*Engagement_Register!$N$10*Assumptions!L$195)</f>
        <v>0</v>
      </c>
      <c r="M98" s="62" t="n">
        <f aca="false">IF(M$5="A",Inputs_Actuals!M31,M12*Engagement_Register!$N$10*Assumptions!M$195)</f>
        <v>0</v>
      </c>
      <c r="N98" s="62" t="n">
        <f aca="false">IF(N$5="A",Inputs_Actuals!N31,N12*Engagement_Register!$N$10*Assumptions!N$195)</f>
        <v>0</v>
      </c>
      <c r="O98" s="62" t="n">
        <f aca="false">IF(O$5="A",Inputs_Actuals!O31,O12*Engagement_Register!$N$10*Assumptions!O$195)</f>
        <v>0</v>
      </c>
      <c r="P98" s="62" t="n">
        <f aca="false">IF(P$5="A",Inputs_Actuals!P31,P12*Engagement_Register!$N$10*Assumptions!P$195)</f>
        <v>0</v>
      </c>
      <c r="Q98" s="62" t="n">
        <f aca="false">IF(Q$5="A",Inputs_Actuals!Q31,Q12*Engagement_Register!$N$10*Assumptions!Q$195)</f>
        <v>0</v>
      </c>
      <c r="R98" s="62" t="n">
        <f aca="false">IF(R$5="A",Inputs_Actuals!R31,R12*Engagement_Register!$N$10*Assumptions!R$195)</f>
        <v>0</v>
      </c>
      <c r="S98" s="62" t="n">
        <f aca="false">IF(S$5="A",Inputs_Actuals!S31,S12*Engagement_Register!$N$10*Assumptions!S$195)</f>
        <v>0</v>
      </c>
      <c r="T98" s="62" t="n">
        <f aca="false">IF(T$5="A",Inputs_Actuals!T31,T12*Engagement_Register!$N$10*Assumptions!T$195)</f>
        <v>0</v>
      </c>
      <c r="U98" s="62" t="n">
        <f aca="false">IF(U$5="A",Inputs_Actuals!U31,U12*Engagement_Register!$N$10*Assumptions!U$195)</f>
        <v>0</v>
      </c>
      <c r="V98" s="62" t="n">
        <f aca="false">IF(V$5="A",Inputs_Actuals!V31,V12*Engagement_Register!$N$10*Assumptions!V$195)</f>
        <v>0</v>
      </c>
      <c r="W98" s="62" t="n">
        <f aca="false">IF(W$5="A",Inputs_Actuals!W31,W12*Engagement_Register!$N$10*Assumptions!W$195)</f>
        <v>0</v>
      </c>
      <c r="X98" s="62" t="n">
        <f aca="false">IF(X$5="A",Inputs_Actuals!X31,X12*Engagement_Register!$N$10*Assumptions!X$195)</f>
        <v>0</v>
      </c>
      <c r="Y98" s="62" t="n">
        <f aca="false">IF(Y$5="A",Inputs_Actuals!Y31,Y12*Engagement_Register!$N$10*Assumptions!Y$195)</f>
        <v>0</v>
      </c>
      <c r="Z98" s="62" t="n">
        <f aca="false">IF(Z$5="A",Inputs_Actuals!Z31,Z12*Engagement_Register!$N$10*Assumptions!Z$195)</f>
        <v>0</v>
      </c>
      <c r="AA98" s="62" t="n">
        <f aca="false">IF(AA$5="A",Inputs_Actuals!AA31,AA12*Engagement_Register!$N$10*Assumptions!AA$195)</f>
        <v>0</v>
      </c>
      <c r="AB98" s="62" t="n">
        <f aca="false">IF(AB$5="A",Inputs_Actuals!AB31,AB12*Engagement_Register!$N$10*Assumptions!AB$195)</f>
        <v>0</v>
      </c>
    </row>
    <row r="99" customFormat="false" ht="15" hidden="false" customHeight="false" outlineLevel="0" collapsed="false">
      <c r="A99" s="29" t="s">
        <v>847</v>
      </c>
      <c r="B99" s="60" t="s">
        <v>848</v>
      </c>
      <c r="C99" s="61" t="n">
        <f aca="false">P99</f>
        <v>0</v>
      </c>
      <c r="D99" s="61" t="n">
        <f aca="false">AB99</f>
        <v>0</v>
      </c>
      <c r="E99" s="62" t="n">
        <f aca="false">Engagement_Register!$X$10+E94-E96</f>
        <v>39306.76</v>
      </c>
      <c r="F99" s="71" t="n">
        <f aca="false">E99+F94-F96</f>
        <v>-35015.54</v>
      </c>
      <c r="G99" s="71" t="n">
        <f aca="false">F99+G94-G96</f>
        <v>13756.41</v>
      </c>
      <c r="H99" s="71" t="n">
        <f aca="false">G99+H94-H96</f>
        <v>54114.7400000001</v>
      </c>
      <c r="I99" s="71" t="n">
        <f aca="false">H99+I94-I96</f>
        <v>0</v>
      </c>
      <c r="J99" s="71" t="n">
        <f aca="false">I99+J94-J96</f>
        <v>0</v>
      </c>
      <c r="K99" s="71" t="n">
        <f aca="false">J99+K94-K96</f>
        <v>0</v>
      </c>
      <c r="L99" s="71" t="n">
        <f aca="false">K99+L94-L96</f>
        <v>0</v>
      </c>
      <c r="M99" s="71" t="n">
        <f aca="false">L99+M94-M96</f>
        <v>0</v>
      </c>
      <c r="N99" s="71" t="n">
        <f aca="false">M99+N94-N96</f>
        <v>0</v>
      </c>
      <c r="O99" s="71" t="n">
        <f aca="false">N99+O94-O96</f>
        <v>0</v>
      </c>
      <c r="P99" s="71" t="n">
        <f aca="false">O99+P94-P96</f>
        <v>0</v>
      </c>
      <c r="Q99" s="71" t="n">
        <f aca="false">P99+Q94-Q96</f>
        <v>0</v>
      </c>
      <c r="R99" s="71" t="n">
        <f aca="false">Q99+R94-R96</f>
        <v>0</v>
      </c>
      <c r="S99" s="71" t="n">
        <f aca="false">R99+S94-S96</f>
        <v>0</v>
      </c>
      <c r="T99" s="71" t="n">
        <f aca="false">S99+T94-T96</f>
        <v>0</v>
      </c>
      <c r="U99" s="71" t="n">
        <f aca="false">T99+U94-U96</f>
        <v>0</v>
      </c>
      <c r="V99" s="71" t="n">
        <f aca="false">U99+V94-V96</f>
        <v>0</v>
      </c>
      <c r="W99" s="71" t="n">
        <f aca="false">V99+W94-W96</f>
        <v>0</v>
      </c>
      <c r="X99" s="71" t="n">
        <f aca="false">W99+X94-X96</f>
        <v>0</v>
      </c>
      <c r="Y99" s="71" t="n">
        <f aca="false">X99+Y94-Y96</f>
        <v>0</v>
      </c>
      <c r="Z99" s="71" t="n">
        <f aca="false">Y99+Z94-Z96</f>
        <v>0</v>
      </c>
      <c r="AA99" s="71" t="n">
        <f aca="false">Z99+AA94-AA96</f>
        <v>0</v>
      </c>
      <c r="AB99" s="71" t="n">
        <f aca="false">AA99+AB94-AB96</f>
        <v>0</v>
      </c>
    </row>
    <row r="100" customFormat="false" ht="15" hidden="false" customHeight="false" outlineLevel="0" collapsed="false">
      <c r="A100" s="29" t="s">
        <v>849</v>
      </c>
      <c r="B100" s="60" t="s">
        <v>850</v>
      </c>
      <c r="C100" s="61" t="n">
        <f aca="false">P100</f>
        <v>0</v>
      </c>
      <c r="D100" s="61" t="n">
        <f aca="false">AB100</f>
        <v>0</v>
      </c>
      <c r="E100" s="62" t="n">
        <f aca="false">MAX(0,Engagement_Register!$AP$10-E93)</f>
        <v>163693.24</v>
      </c>
      <c r="F100" s="62" t="n">
        <f aca="false">MAX(0,Engagement_Register!$AP$10-F93)</f>
        <v>122015.54</v>
      </c>
      <c r="G100" s="62" t="n">
        <f aca="false">MAX(0,Engagement_Register!$AP$10-G93)</f>
        <v>73243.59</v>
      </c>
      <c r="H100" s="62" t="n">
        <f aca="false">MAX(0,Engagement_Register!$AP$10-H93)</f>
        <v>32885.26</v>
      </c>
      <c r="I100" s="62" t="n">
        <f aca="false">MAX(0,Engagement_Register!$AP$10-I93)</f>
        <v>0</v>
      </c>
      <c r="J100" s="62" t="n">
        <f aca="false">MAX(0,Engagement_Register!$AP$10-J93)</f>
        <v>0</v>
      </c>
      <c r="K100" s="62" t="n">
        <f aca="false">MAX(0,Engagement_Register!$AP$10-K93)</f>
        <v>0</v>
      </c>
      <c r="L100" s="62" t="n">
        <f aca="false">MAX(0,Engagement_Register!$AP$10-L93)</f>
        <v>0</v>
      </c>
      <c r="M100" s="62" t="n">
        <f aca="false">MAX(0,Engagement_Register!$AP$10-M93)</f>
        <v>0</v>
      </c>
      <c r="N100" s="62" t="n">
        <f aca="false">MAX(0,Engagement_Register!$AP$10-N93)</f>
        <v>0</v>
      </c>
      <c r="O100" s="62" t="n">
        <f aca="false">MAX(0,Engagement_Register!$AP$10-O93)</f>
        <v>0</v>
      </c>
      <c r="P100" s="62" t="n">
        <f aca="false">MAX(0,Engagement_Register!$AP$10-P93)</f>
        <v>0</v>
      </c>
      <c r="Q100" s="62" t="n">
        <f aca="false">MAX(0,Engagement_Register!$AP$10-Q93)</f>
        <v>0</v>
      </c>
      <c r="R100" s="62" t="n">
        <f aca="false">MAX(0,Engagement_Register!$AP$10-R93)</f>
        <v>0</v>
      </c>
      <c r="S100" s="62" t="n">
        <f aca="false">MAX(0,Engagement_Register!$AP$10-S93)</f>
        <v>0</v>
      </c>
      <c r="T100" s="62" t="n">
        <f aca="false">MAX(0,Engagement_Register!$AP$10-T93)</f>
        <v>0</v>
      </c>
      <c r="U100" s="62" t="n">
        <f aca="false">MAX(0,Engagement_Register!$AP$10-U93)</f>
        <v>0</v>
      </c>
      <c r="V100" s="62" t="n">
        <f aca="false">MAX(0,Engagement_Register!$AP$10-V93)</f>
        <v>0</v>
      </c>
      <c r="W100" s="62" t="n">
        <f aca="false">MAX(0,Engagement_Register!$AP$10-W93)</f>
        <v>0</v>
      </c>
      <c r="X100" s="62" t="n">
        <f aca="false">MAX(0,Engagement_Register!$AP$10-X93)</f>
        <v>0</v>
      </c>
      <c r="Y100" s="62" t="n">
        <f aca="false">MAX(0,Engagement_Register!$AP$10-Y93)</f>
        <v>0</v>
      </c>
      <c r="Z100" s="62" t="n">
        <f aca="false">MAX(0,Engagement_Register!$AP$10-Z93)</f>
        <v>0</v>
      </c>
      <c r="AA100" s="62" t="n">
        <f aca="false">MAX(0,Engagement_Register!$AP$10-AA93)</f>
        <v>0</v>
      </c>
      <c r="AB100" s="62" t="n">
        <f aca="false">MAX(0,Engagement_Register!$AP$10-AB93)</f>
        <v>0</v>
      </c>
    </row>
    <row r="101" customFormat="false" ht="15" hidden="false" customHeight="false" outlineLevel="0" collapsed="false">
      <c r="A101" s="29" t="s">
        <v>861</v>
      </c>
      <c r="B101" s="60" t="s">
        <v>862</v>
      </c>
      <c r="E101" s="62" t="n">
        <f aca="false">IF(E$5="A",ROUND(E93-E90*Engagement_Register!$AP$10,0),0)</f>
        <v>0</v>
      </c>
      <c r="F101" s="62" t="n">
        <f aca="false">IF(F$5="A",ROUND(F93-F90*Engagement_Register!$AP$10,0),0)</f>
        <v>0</v>
      </c>
      <c r="G101" s="62" t="n">
        <f aca="false">IF(G$5="A",ROUND(G93-G90*Engagement_Register!$AP$10,0),0)</f>
        <v>-0</v>
      </c>
      <c r="H101" s="62" t="n">
        <f aca="false">IF(H$5="A",ROUND(H93-H90*Engagement_Register!$AP$10,0),0)</f>
        <v>-0</v>
      </c>
      <c r="I101" s="62" t="n">
        <f aca="false">IF(I$5="A",ROUND(I93-I90*Engagement_Register!$AP$10,0),0)</f>
        <v>0</v>
      </c>
      <c r="J101" s="62" t="n">
        <f aca="false">IF(J$5="A",ROUND(J93-J90*Engagement_Register!$AP$10,0),0)</f>
        <v>0</v>
      </c>
      <c r="K101" s="62" t="n">
        <f aca="false">IF(K$5="A",ROUND(K93-K90*Engagement_Register!$AP$10,0),0)</f>
        <v>0</v>
      </c>
      <c r="L101" s="62" t="n">
        <f aca="false">IF(L$5="A",ROUND(L93-L90*Engagement_Register!$AP$10,0),0)</f>
        <v>0</v>
      </c>
      <c r="M101" s="62" t="n">
        <f aca="false">IF(M$5="A",ROUND(M93-M90*Engagement_Register!$AP$10,0),0)</f>
        <v>0</v>
      </c>
      <c r="N101" s="62" t="n">
        <f aca="false">IF(N$5="A",ROUND(N93-N90*Engagement_Register!$AP$10,0),0)</f>
        <v>0</v>
      </c>
      <c r="O101" s="62" t="n">
        <f aca="false">IF(O$5="A",ROUND(O93-O90*Engagement_Register!$AP$10,0),0)</f>
        <v>0</v>
      </c>
      <c r="P101" s="62" t="n">
        <f aca="false">IF(P$5="A",ROUND(P93-P90*Engagement_Register!$AP$10,0),0)</f>
        <v>0</v>
      </c>
      <c r="Q101" s="62" t="n">
        <f aca="false">IF(Q$5="A",ROUND(Q93-Q90*Engagement_Register!$AP$10,0),0)</f>
        <v>0</v>
      </c>
      <c r="R101" s="62" t="n">
        <f aca="false">IF(R$5="A",ROUND(R93-R90*Engagement_Register!$AP$10,0),0)</f>
        <v>0</v>
      </c>
      <c r="S101" s="62" t="n">
        <f aca="false">IF(S$5="A",ROUND(S93-S90*Engagement_Register!$AP$10,0),0)</f>
        <v>0</v>
      </c>
      <c r="T101" s="62" t="n">
        <f aca="false">IF(T$5="A",ROUND(T93-T90*Engagement_Register!$AP$10,0),0)</f>
        <v>0</v>
      </c>
      <c r="U101" s="62" t="n">
        <f aca="false">IF(U$5="A",ROUND(U93-U90*Engagement_Register!$AP$10,0),0)</f>
        <v>0</v>
      </c>
      <c r="V101" s="62" t="n">
        <f aca="false">IF(V$5="A",ROUND(V93-V90*Engagement_Register!$AP$10,0),0)</f>
        <v>0</v>
      </c>
      <c r="W101" s="62" t="n">
        <f aca="false">IF(W$5="A",ROUND(W93-W90*Engagement_Register!$AP$10,0),0)</f>
        <v>0</v>
      </c>
      <c r="X101" s="62" t="n">
        <f aca="false">IF(X$5="A",ROUND(X93-X90*Engagement_Register!$AP$10,0),0)</f>
        <v>0</v>
      </c>
      <c r="Y101" s="62" t="n">
        <f aca="false">IF(Y$5="A",ROUND(Y93-Y90*Engagement_Register!$AP$10,0),0)</f>
        <v>0</v>
      </c>
      <c r="Z101" s="62" t="n">
        <f aca="false">IF(Z$5="A",ROUND(Z93-Z90*Engagement_Register!$AP$10,0),0)</f>
        <v>0</v>
      </c>
      <c r="AA101" s="62" t="n">
        <f aca="false">IF(AA$5="A",ROUND(AA93-AA90*Engagement_Register!$AP$10,0),0)</f>
        <v>0</v>
      </c>
      <c r="AB101" s="62" t="n">
        <f aca="false">IF(AB$5="A",ROUND(AB93-AB90*Engagement_Register!$AP$10,0),0)</f>
        <v>0</v>
      </c>
    </row>
    <row r="103" customFormat="false" ht="15" hidden="false" customHeight="false" outlineLevel="0" collapsed="false">
      <c r="A103" s="23" t="s">
        <v>870</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row>
    <row r="104" customFormat="false" ht="15" hidden="false" customHeight="false" outlineLevel="0" collapsed="false">
      <c r="A104" s="29" t="s">
        <v>736</v>
      </c>
      <c r="B104" s="60" t="s">
        <v>832</v>
      </c>
      <c r="C104" s="66" t="n">
        <f aca="false">P104</f>
        <v>640</v>
      </c>
      <c r="D104" s="66" t="n">
        <f aca="false">AB104</f>
        <v>640</v>
      </c>
      <c r="E104" s="67" t="n">
        <f aca="false">Engagement_Register!$T$11+E13</f>
        <v>380.1</v>
      </c>
      <c r="F104" s="72" t="n">
        <f aca="false">E104+F13</f>
        <v>504.8</v>
      </c>
      <c r="G104" s="72" t="n">
        <f aca="false">F104+G13</f>
        <v>640</v>
      </c>
      <c r="H104" s="72" t="n">
        <f aca="false">G104+H13</f>
        <v>640</v>
      </c>
      <c r="I104" s="72" t="n">
        <f aca="false">H104+I13</f>
        <v>640</v>
      </c>
      <c r="J104" s="72" t="n">
        <f aca="false">I104+J13</f>
        <v>640</v>
      </c>
      <c r="K104" s="72" t="n">
        <f aca="false">J104+K13</f>
        <v>640</v>
      </c>
      <c r="L104" s="72" t="n">
        <f aca="false">K104+L13</f>
        <v>640</v>
      </c>
      <c r="M104" s="72" t="n">
        <f aca="false">L104+M13</f>
        <v>640</v>
      </c>
      <c r="N104" s="72" t="n">
        <f aca="false">M104+N13</f>
        <v>640</v>
      </c>
      <c r="O104" s="72" t="n">
        <f aca="false">N104+O13</f>
        <v>640</v>
      </c>
      <c r="P104" s="72" t="n">
        <f aca="false">O104+P13</f>
        <v>640</v>
      </c>
      <c r="Q104" s="72" t="n">
        <f aca="false">P104+Q13</f>
        <v>640</v>
      </c>
      <c r="R104" s="72" t="n">
        <f aca="false">Q104+R13</f>
        <v>640</v>
      </c>
      <c r="S104" s="72" t="n">
        <f aca="false">R104+S13</f>
        <v>640</v>
      </c>
      <c r="T104" s="72" t="n">
        <f aca="false">S104+T13</f>
        <v>640</v>
      </c>
      <c r="U104" s="72" t="n">
        <f aca="false">T104+U13</f>
        <v>640</v>
      </c>
      <c r="V104" s="72" t="n">
        <f aca="false">U104+V13</f>
        <v>640</v>
      </c>
      <c r="W104" s="72" t="n">
        <f aca="false">V104+W13</f>
        <v>640</v>
      </c>
      <c r="X104" s="72" t="n">
        <f aca="false">W104+X13</f>
        <v>640</v>
      </c>
      <c r="Y104" s="72" t="n">
        <f aca="false">X104+Y13</f>
        <v>640</v>
      </c>
      <c r="Z104" s="72" t="n">
        <f aca="false">Y104+Z13</f>
        <v>640</v>
      </c>
      <c r="AA104" s="72" t="n">
        <f aca="false">Z104+AA13</f>
        <v>640</v>
      </c>
      <c r="AB104" s="72" t="n">
        <f aca="false">AA104+AB13</f>
        <v>640</v>
      </c>
    </row>
    <row r="105" customFormat="false" ht="15" hidden="false" customHeight="false" outlineLevel="0" collapsed="false">
      <c r="A105" s="29" t="s">
        <v>852</v>
      </c>
      <c r="B105" s="60" t="s">
        <v>853</v>
      </c>
      <c r="C105" s="66" t="n">
        <f aca="false">P105</f>
        <v>640</v>
      </c>
      <c r="D105" s="66" t="n">
        <f aca="false">AB105</f>
        <v>640</v>
      </c>
      <c r="E105" s="67" t="n">
        <f aca="false">IF(E$5="A",IF(E104+N(Inputs_Actuals!E33)&lt;=0,Engagement_Register!$AM$11,E104+N(Inputs_Actuals!E33)),Engagement_Register!$AM$11)</f>
        <v>640</v>
      </c>
      <c r="F105" s="67" t="n">
        <f aca="false">IF(F$5="A",IF(F104+N(Inputs_Actuals!F33)&lt;=0,Engagement_Register!$AM$11,F104+N(Inputs_Actuals!F33)),Engagement_Register!$AM$11)</f>
        <v>640</v>
      </c>
      <c r="G105" s="67" t="n">
        <f aca="false">IF(G$5="A",IF(G104+N(Inputs_Actuals!G33)&lt;=0,Engagement_Register!$AM$11,G104+N(Inputs_Actuals!G33)),Engagement_Register!$AM$11)</f>
        <v>640</v>
      </c>
      <c r="H105" s="67" t="n">
        <f aca="false">IF(H$5="A",IF(H104+N(Inputs_Actuals!H33)&lt;=0,Engagement_Register!$AM$11,H104+N(Inputs_Actuals!H33)),Engagement_Register!$AM$11)</f>
        <v>640</v>
      </c>
      <c r="I105" s="67" t="n">
        <f aca="false">IF(I$5="A",IF(I104+N(Inputs_Actuals!I33)&lt;=0,Engagement_Register!$AM$11,I104+N(Inputs_Actuals!I33)),Engagement_Register!$AM$11)</f>
        <v>640</v>
      </c>
      <c r="J105" s="67" t="n">
        <f aca="false">IF(J$5="A",IF(J104+N(Inputs_Actuals!J33)&lt;=0,Engagement_Register!$AM$11,J104+N(Inputs_Actuals!J33)),Engagement_Register!$AM$11)</f>
        <v>640</v>
      </c>
      <c r="K105" s="67" t="n">
        <f aca="false">IF(K$5="A",IF(K104+N(Inputs_Actuals!K33)&lt;=0,Engagement_Register!$AM$11,K104+N(Inputs_Actuals!K33)),Engagement_Register!$AM$11)</f>
        <v>640</v>
      </c>
      <c r="L105" s="67" t="n">
        <f aca="false">IF(L$5="A",IF(L104+N(Inputs_Actuals!L33)&lt;=0,Engagement_Register!$AM$11,L104+N(Inputs_Actuals!L33)),Engagement_Register!$AM$11)</f>
        <v>640</v>
      </c>
      <c r="M105" s="67" t="n">
        <f aca="false">IF(M$5="A",IF(M104+N(Inputs_Actuals!M33)&lt;=0,Engagement_Register!$AM$11,M104+N(Inputs_Actuals!M33)),Engagement_Register!$AM$11)</f>
        <v>640</v>
      </c>
      <c r="N105" s="67" t="n">
        <f aca="false">IF(N$5="A",IF(N104+N(Inputs_Actuals!N33)&lt;=0,Engagement_Register!$AM$11,N104+N(Inputs_Actuals!N33)),Engagement_Register!$AM$11)</f>
        <v>640</v>
      </c>
      <c r="O105" s="67" t="n">
        <f aca="false">IF(O$5="A",IF(O104+N(Inputs_Actuals!O33)&lt;=0,Engagement_Register!$AM$11,O104+N(Inputs_Actuals!O33)),Engagement_Register!$AM$11)</f>
        <v>640</v>
      </c>
      <c r="P105" s="67" t="n">
        <f aca="false">IF(P$5="A",IF(P104+N(Inputs_Actuals!P33)&lt;=0,Engagement_Register!$AM$11,P104+N(Inputs_Actuals!P33)),Engagement_Register!$AM$11)</f>
        <v>640</v>
      </c>
      <c r="Q105" s="67" t="n">
        <f aca="false">IF(Q$5="A",IF(Q104+N(Inputs_Actuals!Q33)&lt;=0,Engagement_Register!$AM$11,Q104+N(Inputs_Actuals!Q33)),Engagement_Register!$AM$11)</f>
        <v>640</v>
      </c>
      <c r="R105" s="67" t="n">
        <f aca="false">IF(R$5="A",IF(R104+N(Inputs_Actuals!R33)&lt;=0,Engagement_Register!$AM$11,R104+N(Inputs_Actuals!R33)),Engagement_Register!$AM$11)</f>
        <v>640</v>
      </c>
      <c r="S105" s="67" t="n">
        <f aca="false">IF(S$5="A",IF(S104+N(Inputs_Actuals!S33)&lt;=0,Engagement_Register!$AM$11,S104+N(Inputs_Actuals!S33)),Engagement_Register!$AM$11)</f>
        <v>640</v>
      </c>
      <c r="T105" s="67" t="n">
        <f aca="false">IF(T$5="A",IF(T104+N(Inputs_Actuals!T33)&lt;=0,Engagement_Register!$AM$11,T104+N(Inputs_Actuals!T33)),Engagement_Register!$AM$11)</f>
        <v>640</v>
      </c>
      <c r="U105" s="67" t="n">
        <f aca="false">IF(U$5="A",IF(U104+N(Inputs_Actuals!U33)&lt;=0,Engagement_Register!$AM$11,U104+N(Inputs_Actuals!U33)),Engagement_Register!$AM$11)</f>
        <v>640</v>
      </c>
      <c r="V105" s="67" t="n">
        <f aca="false">IF(V$5="A",IF(V104+N(Inputs_Actuals!V33)&lt;=0,Engagement_Register!$AM$11,V104+N(Inputs_Actuals!V33)),Engagement_Register!$AM$11)</f>
        <v>640</v>
      </c>
      <c r="W105" s="67" t="n">
        <f aca="false">IF(W$5="A",IF(W104+N(Inputs_Actuals!W33)&lt;=0,Engagement_Register!$AM$11,W104+N(Inputs_Actuals!W33)),Engagement_Register!$AM$11)</f>
        <v>640</v>
      </c>
      <c r="X105" s="67" t="n">
        <f aca="false">IF(X$5="A",IF(X104+N(Inputs_Actuals!X33)&lt;=0,Engagement_Register!$AM$11,X104+N(Inputs_Actuals!X33)),Engagement_Register!$AM$11)</f>
        <v>640</v>
      </c>
      <c r="Y105" s="67" t="n">
        <f aca="false">IF(Y$5="A",IF(Y104+N(Inputs_Actuals!Y33)&lt;=0,Engagement_Register!$AM$11,Y104+N(Inputs_Actuals!Y33)),Engagement_Register!$AM$11)</f>
        <v>640</v>
      </c>
      <c r="Z105" s="67" t="n">
        <f aca="false">IF(Z$5="A",IF(Z104+N(Inputs_Actuals!Z33)&lt;=0,Engagement_Register!$AM$11,Z104+N(Inputs_Actuals!Z33)),Engagement_Register!$AM$11)</f>
        <v>640</v>
      </c>
      <c r="AA105" s="67" t="n">
        <f aca="false">IF(AA$5="A",IF(AA104+N(Inputs_Actuals!AA33)&lt;=0,Engagement_Register!$AM$11,AA104+N(Inputs_Actuals!AA33)),Engagement_Register!$AM$11)</f>
        <v>640</v>
      </c>
      <c r="AB105" s="67" t="n">
        <f aca="false">IF(AB$5="A",IF(AB104+N(Inputs_Actuals!AB33)&lt;=0,Engagement_Register!$AM$11,AB104+N(Inputs_Actuals!AB33)),Engagement_Register!$AM$11)</f>
        <v>640</v>
      </c>
    </row>
    <row r="106" customFormat="false" ht="15" hidden="false" customHeight="false" outlineLevel="0" collapsed="false">
      <c r="A106" s="29" t="s">
        <v>854</v>
      </c>
      <c r="B106" s="60" t="s">
        <v>855</v>
      </c>
      <c r="C106" s="63" t="n">
        <f aca="false">P106</f>
        <v>1</v>
      </c>
      <c r="D106" s="63" t="n">
        <f aca="false">AB106</f>
        <v>1</v>
      </c>
      <c r="E106" s="64" t="n">
        <f aca="false">IF(E105&lt;=0,0,MIN(1,E104/E105))</f>
        <v>0.59390625</v>
      </c>
      <c r="F106" s="64" t="n">
        <f aca="false">IF(F105&lt;=0,0,MIN(1,F104/F105))</f>
        <v>0.78875</v>
      </c>
      <c r="G106" s="64" t="n">
        <f aca="false">IF(G105&lt;=0,0,MIN(1,G104/G105))</f>
        <v>1</v>
      </c>
      <c r="H106" s="64" t="n">
        <f aca="false">IF(H105&lt;=0,0,MIN(1,H104/H105))</f>
        <v>1</v>
      </c>
      <c r="I106" s="64" t="n">
        <f aca="false">IF(I105&lt;=0,0,MIN(1,I104/I105))</f>
        <v>1</v>
      </c>
      <c r="J106" s="64" t="n">
        <f aca="false">IF(J105&lt;=0,0,MIN(1,J104/J105))</f>
        <v>1</v>
      </c>
      <c r="K106" s="64" t="n">
        <f aca="false">IF(K105&lt;=0,0,MIN(1,K104/K105))</f>
        <v>1</v>
      </c>
      <c r="L106" s="64" t="n">
        <f aca="false">IF(L105&lt;=0,0,MIN(1,L104/L105))</f>
        <v>1</v>
      </c>
      <c r="M106" s="64" t="n">
        <f aca="false">IF(M105&lt;=0,0,MIN(1,M104/M105))</f>
        <v>1</v>
      </c>
      <c r="N106" s="64" t="n">
        <f aca="false">IF(N105&lt;=0,0,MIN(1,N104/N105))</f>
        <v>1</v>
      </c>
      <c r="O106" s="64" t="n">
        <f aca="false">IF(O105&lt;=0,0,MIN(1,O104/O105))</f>
        <v>1</v>
      </c>
      <c r="P106" s="64" t="n">
        <f aca="false">IF(P105&lt;=0,0,MIN(1,P104/P105))</f>
        <v>1</v>
      </c>
      <c r="Q106" s="64" t="n">
        <f aca="false">IF(Q105&lt;=0,0,MIN(1,Q104/Q105))</f>
        <v>1</v>
      </c>
      <c r="R106" s="64" t="n">
        <f aca="false">IF(R105&lt;=0,0,MIN(1,R104/R105))</f>
        <v>1</v>
      </c>
      <c r="S106" s="64" t="n">
        <f aca="false">IF(S105&lt;=0,0,MIN(1,S104/S105))</f>
        <v>1</v>
      </c>
      <c r="T106" s="64" t="n">
        <f aca="false">IF(T105&lt;=0,0,MIN(1,T104/T105))</f>
        <v>1</v>
      </c>
      <c r="U106" s="64" t="n">
        <f aca="false">IF(U105&lt;=0,0,MIN(1,U104/U105))</f>
        <v>1</v>
      </c>
      <c r="V106" s="64" t="n">
        <f aca="false">IF(V105&lt;=0,0,MIN(1,V104/V105))</f>
        <v>1</v>
      </c>
      <c r="W106" s="64" t="n">
        <f aca="false">IF(W105&lt;=0,0,MIN(1,W104/W105))</f>
        <v>1</v>
      </c>
      <c r="X106" s="64" t="n">
        <f aca="false">IF(X105&lt;=0,0,MIN(1,X104/X105))</f>
        <v>1</v>
      </c>
      <c r="Y106" s="64" t="n">
        <f aca="false">IF(Y105&lt;=0,0,MIN(1,Y104/Y105))</f>
        <v>1</v>
      </c>
      <c r="Z106" s="64" t="n">
        <f aca="false">IF(Z105&lt;=0,0,MIN(1,Z104/Z105))</f>
        <v>1</v>
      </c>
      <c r="AA106" s="64" t="n">
        <f aca="false">IF(AA105&lt;=0,0,MIN(1,AA104/AA105))</f>
        <v>1</v>
      </c>
      <c r="AB106" s="64" t="n">
        <f aca="false">IF(AB105&lt;=0,0,MIN(1,AB104/AB105))</f>
        <v>1</v>
      </c>
    </row>
    <row r="107" customFormat="false" ht="15" hidden="false" customHeight="false" outlineLevel="0" collapsed="false">
      <c r="A107" s="29" t="s">
        <v>833</v>
      </c>
      <c r="B107" s="60" t="s">
        <v>834</v>
      </c>
      <c r="C107" s="61" t="n">
        <f aca="false">SUM(E107:P107)</f>
        <v>80284.76</v>
      </c>
      <c r="D107" s="61" t="n">
        <f aca="false">SUM(Q107:AB107)</f>
        <v>0</v>
      </c>
      <c r="E107" s="62" t="n">
        <f aca="false">E13*Engagement_Register!$AD$11*Assumptions!E$194</f>
        <v>26589.42</v>
      </c>
      <c r="F107" s="62" t="n">
        <f aca="false">F13*Engagement_Register!$AD$11*Assumptions!F$194</f>
        <v>25763.02</v>
      </c>
      <c r="G107" s="62" t="n">
        <f aca="false">G13*Engagement_Register!$AD$11*Assumptions!G$194</f>
        <v>27932.32</v>
      </c>
      <c r="H107" s="62" t="n">
        <f aca="false">H13*Engagement_Register!$AD$11*Assumptions!H$194</f>
        <v>0</v>
      </c>
      <c r="I107" s="62" t="n">
        <f aca="false">I13*Engagement_Register!$AD$11*Assumptions!I$194</f>
        <v>0</v>
      </c>
      <c r="J107" s="62" t="n">
        <f aca="false">J13*Engagement_Register!$AD$11*Assumptions!J$194</f>
        <v>0</v>
      </c>
      <c r="K107" s="62" t="n">
        <f aca="false">K13*Engagement_Register!$AD$11*Assumptions!K$194</f>
        <v>0</v>
      </c>
      <c r="L107" s="62" t="n">
        <f aca="false">L13*Engagement_Register!$AD$11*Assumptions!L$194</f>
        <v>0</v>
      </c>
      <c r="M107" s="62" t="n">
        <f aca="false">M13*Engagement_Register!$AD$11*Assumptions!M$194</f>
        <v>0</v>
      </c>
      <c r="N107" s="62" t="n">
        <f aca="false">N13*Engagement_Register!$AD$11*Assumptions!N$194</f>
        <v>0</v>
      </c>
      <c r="O107" s="62" t="n">
        <f aca="false">O13*Engagement_Register!$AD$11*Assumptions!O$194</f>
        <v>0</v>
      </c>
      <c r="P107" s="62" t="n">
        <f aca="false">P13*Engagement_Register!$AD$11*Assumptions!P$194</f>
        <v>0</v>
      </c>
      <c r="Q107" s="62" t="n">
        <f aca="false">Q13*Engagement_Register!$AD$11*Assumptions!Q$194</f>
        <v>0</v>
      </c>
      <c r="R107" s="62" t="n">
        <f aca="false">R13*Engagement_Register!$AD$11*Assumptions!R$194</f>
        <v>0</v>
      </c>
      <c r="S107" s="62" t="n">
        <f aca="false">S13*Engagement_Register!$AD$11*Assumptions!S$194</f>
        <v>0</v>
      </c>
      <c r="T107" s="62" t="n">
        <f aca="false">T13*Engagement_Register!$AD$11*Assumptions!T$194</f>
        <v>0</v>
      </c>
      <c r="U107" s="62" t="n">
        <f aca="false">U13*Engagement_Register!$AD$11*Assumptions!U$194</f>
        <v>0</v>
      </c>
      <c r="V107" s="62" t="n">
        <f aca="false">V13*Engagement_Register!$AD$11*Assumptions!V$194</f>
        <v>0</v>
      </c>
      <c r="W107" s="62" t="n">
        <f aca="false">W13*Engagement_Register!$AD$11*Assumptions!W$194</f>
        <v>0</v>
      </c>
      <c r="X107" s="62" t="n">
        <f aca="false">X13*Engagement_Register!$AD$11*Assumptions!X$194</f>
        <v>0</v>
      </c>
      <c r="Y107" s="62" t="n">
        <f aca="false">Y13*Engagement_Register!$AD$11*Assumptions!Y$194</f>
        <v>0</v>
      </c>
      <c r="Z107" s="62" t="n">
        <f aca="false">Z13*Engagement_Register!$AD$11*Assumptions!Z$194</f>
        <v>0</v>
      </c>
      <c r="AA107" s="62" t="n">
        <f aca="false">AA13*Engagement_Register!$AD$11*Assumptions!AA$194</f>
        <v>0</v>
      </c>
      <c r="AB107" s="62" t="n">
        <f aca="false">AB13*Engagement_Register!$AD$11*Assumptions!AB$194</f>
        <v>0</v>
      </c>
    </row>
    <row r="108" customFormat="false" ht="15" hidden="false" customHeight="false" outlineLevel="0" collapsed="false">
      <c r="A108" s="29" t="s">
        <v>835</v>
      </c>
      <c r="B108" s="60" t="s">
        <v>865</v>
      </c>
      <c r="C108" s="61" t="n">
        <f aca="false">SUM(E108:P108)</f>
        <v>77720</v>
      </c>
      <c r="D108" s="61" t="n">
        <f aca="false">SUM(Q108:AB108)</f>
        <v>0</v>
      </c>
      <c r="E108" s="62" t="n">
        <f aca="false">E13*Engagement_Register!$AE$11</f>
        <v>25740</v>
      </c>
      <c r="F108" s="62" t="n">
        <f aca="false">F13*Engagement_Register!$AE$11</f>
        <v>24940</v>
      </c>
      <c r="G108" s="62" t="n">
        <f aca="false">G13*Engagement_Register!$AE$11</f>
        <v>27040</v>
      </c>
      <c r="H108" s="62" t="n">
        <f aca="false">H13*Engagement_Register!$AE$11</f>
        <v>0</v>
      </c>
      <c r="I108" s="62" t="n">
        <f aca="false">I13*Engagement_Register!$AE$11</f>
        <v>0</v>
      </c>
      <c r="J108" s="62" t="n">
        <f aca="false">J13*Engagement_Register!$AE$11</f>
        <v>0</v>
      </c>
      <c r="K108" s="62" t="n">
        <f aca="false">K13*Engagement_Register!$AE$11</f>
        <v>0</v>
      </c>
      <c r="L108" s="62" t="n">
        <f aca="false">L13*Engagement_Register!$AE$11</f>
        <v>0</v>
      </c>
      <c r="M108" s="62" t="n">
        <f aca="false">M13*Engagement_Register!$AE$11</f>
        <v>0</v>
      </c>
      <c r="N108" s="62" t="n">
        <f aca="false">N13*Engagement_Register!$AE$11</f>
        <v>0</v>
      </c>
      <c r="O108" s="62" t="n">
        <f aca="false">O13*Engagement_Register!$AE$11</f>
        <v>0</v>
      </c>
      <c r="P108" s="62" t="n">
        <f aca="false">P13*Engagement_Register!$AE$11</f>
        <v>0</v>
      </c>
      <c r="Q108" s="62" t="n">
        <f aca="false">Q13*Engagement_Register!$AE$11</f>
        <v>0</v>
      </c>
      <c r="R108" s="62" t="n">
        <f aca="false">R13*Engagement_Register!$AE$11</f>
        <v>0</v>
      </c>
      <c r="S108" s="62" t="n">
        <f aca="false">S13*Engagement_Register!$AE$11</f>
        <v>0</v>
      </c>
      <c r="T108" s="62" t="n">
        <f aca="false">T13*Engagement_Register!$AE$11</f>
        <v>0</v>
      </c>
      <c r="U108" s="62" t="n">
        <f aca="false">U13*Engagement_Register!$AE$11</f>
        <v>0</v>
      </c>
      <c r="V108" s="62" t="n">
        <f aca="false">V13*Engagement_Register!$AE$11</f>
        <v>0</v>
      </c>
      <c r="W108" s="62" t="n">
        <f aca="false">W13*Engagement_Register!$AE$11</f>
        <v>0</v>
      </c>
      <c r="X108" s="62" t="n">
        <f aca="false">X13*Engagement_Register!$AE$11</f>
        <v>0</v>
      </c>
      <c r="Y108" s="62" t="n">
        <f aca="false">Y13*Engagement_Register!$AE$11</f>
        <v>0</v>
      </c>
      <c r="Z108" s="62" t="n">
        <f aca="false">Z13*Engagement_Register!$AE$11</f>
        <v>0</v>
      </c>
      <c r="AA108" s="62" t="n">
        <f aca="false">AA13*Engagement_Register!$AE$11</f>
        <v>0</v>
      </c>
      <c r="AB108" s="62" t="n">
        <f aca="false">AB13*Engagement_Register!$AE$11</f>
        <v>0</v>
      </c>
    </row>
    <row r="109" customFormat="false" ht="15" hidden="false" customHeight="false" outlineLevel="0" collapsed="false">
      <c r="A109" s="29" t="s">
        <v>742</v>
      </c>
      <c r="B109" s="60" t="s">
        <v>866</v>
      </c>
      <c r="C109" s="61" t="n">
        <f aca="false">P109</f>
        <v>120000</v>
      </c>
      <c r="D109" s="61" t="n">
        <f aca="false">AB109</f>
        <v>120000</v>
      </c>
      <c r="E109" s="62" t="n">
        <f aca="false">IF(E$5="A",Engagement_Register!$U$11+Inputs_Actuals!E34,Engagement_Register!$AP$11*E106)</f>
        <v>71268.75</v>
      </c>
      <c r="F109" s="62" t="n">
        <f aca="false">IF(F$5="A",E109+Inputs_Actuals!F34,Engagement_Register!$AP$11*F106)</f>
        <v>94650</v>
      </c>
      <c r="G109" s="62" t="n">
        <f aca="false">IF(G$5="A",F109+Inputs_Actuals!G34,Engagement_Register!$AP$11*G106)</f>
        <v>120000</v>
      </c>
      <c r="H109" s="62" t="n">
        <f aca="false">IF(H$5="A",G109+Inputs_Actuals!H34,Engagement_Register!$AP$11*H106)</f>
        <v>120000</v>
      </c>
      <c r="I109" s="62" t="n">
        <f aca="false">IF(I$5="A",H109+Inputs_Actuals!I34,Engagement_Register!$AP$11*I106)</f>
        <v>120000</v>
      </c>
      <c r="J109" s="62" t="n">
        <f aca="false">IF(J$5="A",I109+Inputs_Actuals!J34,Engagement_Register!$AP$11*J106)</f>
        <v>120000</v>
      </c>
      <c r="K109" s="62" t="n">
        <f aca="false">IF(K$5="A",J109+Inputs_Actuals!K34,Engagement_Register!$AP$11*K106)</f>
        <v>120000</v>
      </c>
      <c r="L109" s="62" t="n">
        <f aca="false">IF(L$5="A",K109+Inputs_Actuals!L34,Engagement_Register!$AP$11*L106)</f>
        <v>120000</v>
      </c>
      <c r="M109" s="62" t="n">
        <f aca="false">IF(M$5="A",L109+Inputs_Actuals!M34,Engagement_Register!$AP$11*M106)</f>
        <v>120000</v>
      </c>
      <c r="N109" s="62" t="n">
        <f aca="false">IF(N$5="A",M109+Inputs_Actuals!N34,Engagement_Register!$AP$11*N106)</f>
        <v>120000</v>
      </c>
      <c r="O109" s="62" t="n">
        <f aca="false">IF(O$5="A",N109+Inputs_Actuals!O34,Engagement_Register!$AP$11*O106)</f>
        <v>120000</v>
      </c>
      <c r="P109" s="62" t="n">
        <f aca="false">IF(P$5="A",O109+Inputs_Actuals!P34,Engagement_Register!$AP$11*P106)</f>
        <v>120000</v>
      </c>
      <c r="Q109" s="62" t="n">
        <f aca="false">IF(Q$5="A",P109+Inputs_Actuals!Q34,Engagement_Register!$AP$11*Q106)</f>
        <v>120000</v>
      </c>
      <c r="R109" s="62" t="n">
        <f aca="false">IF(R$5="A",Q109+Inputs_Actuals!R34,Engagement_Register!$AP$11*R106)</f>
        <v>120000</v>
      </c>
      <c r="S109" s="62" t="n">
        <f aca="false">IF(S$5="A",R109+Inputs_Actuals!S34,Engagement_Register!$AP$11*S106)</f>
        <v>120000</v>
      </c>
      <c r="T109" s="62" t="n">
        <f aca="false">IF(T$5="A",S109+Inputs_Actuals!T34,Engagement_Register!$AP$11*T106)</f>
        <v>120000</v>
      </c>
      <c r="U109" s="62" t="n">
        <f aca="false">IF(U$5="A",T109+Inputs_Actuals!U34,Engagement_Register!$AP$11*U106)</f>
        <v>120000</v>
      </c>
      <c r="V109" s="62" t="n">
        <f aca="false">IF(V$5="A",U109+Inputs_Actuals!V34,Engagement_Register!$AP$11*V106)</f>
        <v>120000</v>
      </c>
      <c r="W109" s="62" t="n">
        <f aca="false">IF(W$5="A",V109+Inputs_Actuals!W34,Engagement_Register!$AP$11*W106)</f>
        <v>120000</v>
      </c>
      <c r="X109" s="62" t="n">
        <f aca="false">IF(X$5="A",W109+Inputs_Actuals!X34,Engagement_Register!$AP$11*X106)</f>
        <v>120000</v>
      </c>
      <c r="Y109" s="62" t="n">
        <f aca="false">IF(Y$5="A",X109+Inputs_Actuals!Y34,Engagement_Register!$AP$11*Y106)</f>
        <v>120000</v>
      </c>
      <c r="Z109" s="62" t="n">
        <f aca="false">IF(Z$5="A",Y109+Inputs_Actuals!Z34,Engagement_Register!$AP$11*Z106)</f>
        <v>120000</v>
      </c>
      <c r="AA109" s="62" t="n">
        <f aca="false">IF(AA$5="A",Z109+Inputs_Actuals!AA34,Engagement_Register!$AP$11*AA106)</f>
        <v>120000</v>
      </c>
      <c r="AB109" s="62" t="n">
        <f aca="false">IF(AB$5="A",AA109+Inputs_Actuals!AB34,Engagement_Register!$AP$11*AB106)</f>
        <v>120000</v>
      </c>
    </row>
    <row r="110" customFormat="false" ht="15" hidden="false" customHeight="false" outlineLevel="0" collapsed="false">
      <c r="A110" s="68" t="s">
        <v>349</v>
      </c>
      <c r="B110" s="69" t="s">
        <v>859</v>
      </c>
      <c r="C110" s="70" t="n">
        <f aca="false">SUM(E110:P110)</f>
        <v>69720</v>
      </c>
      <c r="D110" s="70" t="n">
        <f aca="false">SUM(Q110:AB110)</f>
        <v>0</v>
      </c>
      <c r="E110" s="74" t="n">
        <f aca="false">E109-Engagement_Register!$U$11</f>
        <v>20988.75</v>
      </c>
      <c r="F110" s="70" t="n">
        <f aca="false">F109-E109</f>
        <v>23381.25</v>
      </c>
      <c r="G110" s="70" t="n">
        <f aca="false">G109-F109</f>
        <v>25350</v>
      </c>
      <c r="H110" s="70" t="n">
        <f aca="false">H109-G109</f>
        <v>0</v>
      </c>
      <c r="I110" s="70" t="n">
        <f aca="false">I109-H109</f>
        <v>0</v>
      </c>
      <c r="J110" s="70" t="n">
        <f aca="false">J109-I109</f>
        <v>0</v>
      </c>
      <c r="K110" s="70" t="n">
        <f aca="false">K109-J109</f>
        <v>0</v>
      </c>
      <c r="L110" s="70" t="n">
        <f aca="false">L109-K109</f>
        <v>0</v>
      </c>
      <c r="M110" s="70" t="n">
        <f aca="false">M109-L109</f>
        <v>0</v>
      </c>
      <c r="N110" s="70" t="n">
        <f aca="false">N109-M109</f>
        <v>0</v>
      </c>
      <c r="O110" s="70" t="n">
        <f aca="false">O109-N109</f>
        <v>0</v>
      </c>
      <c r="P110" s="70" t="n">
        <f aca="false">P109-O109</f>
        <v>0</v>
      </c>
      <c r="Q110" s="70" t="n">
        <f aca="false">Q109-P109</f>
        <v>0</v>
      </c>
      <c r="R110" s="70" t="n">
        <f aca="false">R109-Q109</f>
        <v>0</v>
      </c>
      <c r="S110" s="70" t="n">
        <f aca="false">S109-R109</f>
        <v>0</v>
      </c>
      <c r="T110" s="70" t="n">
        <f aca="false">T109-S109</f>
        <v>0</v>
      </c>
      <c r="U110" s="70" t="n">
        <f aca="false">U109-T109</f>
        <v>0</v>
      </c>
      <c r="V110" s="70" t="n">
        <f aca="false">V109-U109</f>
        <v>0</v>
      </c>
      <c r="W110" s="70" t="n">
        <f aca="false">W109-V109</f>
        <v>0</v>
      </c>
      <c r="X110" s="70" t="n">
        <f aca="false">X109-W109</f>
        <v>0</v>
      </c>
      <c r="Y110" s="70" t="n">
        <f aca="false">Y109-X109</f>
        <v>0</v>
      </c>
      <c r="Z110" s="70" t="n">
        <f aca="false">Z109-Y109</f>
        <v>0</v>
      </c>
      <c r="AA110" s="70" t="n">
        <f aca="false">AA109-Z109</f>
        <v>0</v>
      </c>
      <c r="AB110" s="70" t="n">
        <f aca="false">AB109-AA109</f>
        <v>0</v>
      </c>
    </row>
    <row r="111" customFormat="false" ht="15" hidden="false" customHeight="false" outlineLevel="0" collapsed="false">
      <c r="A111" s="29" t="s">
        <v>867</v>
      </c>
      <c r="B111" s="60" t="s">
        <v>868</v>
      </c>
      <c r="C111" s="61" t="n">
        <f aca="false">P111</f>
        <v>120000</v>
      </c>
      <c r="D111" s="61" t="n">
        <f aca="false">AB111</f>
        <v>120000</v>
      </c>
      <c r="E111" s="62" t="n">
        <f aca="false">Engagement_Register!$AP$11*(Assumptions!$C$146*(Assumptions!E$187&gt;=Engagement_Register!$AG$11)+Assumptions!$C$147*(Assumptions!E$187&gt;=Engagement_Register!$AI$11)+Assumptions!$C$148*(Assumptions!E$187&gt;=Engagement_Register!$AH$11))</f>
        <v>84000</v>
      </c>
      <c r="F111" s="62" t="n">
        <f aca="false">Engagement_Register!$AP$11*(Assumptions!$C$146*(Assumptions!F$187&gt;=Engagement_Register!$AG$11)+Assumptions!$C$147*(Assumptions!F$187&gt;=Engagement_Register!$AI$11)+Assumptions!$C$148*(Assumptions!F$187&gt;=Engagement_Register!$AH$11))</f>
        <v>84000</v>
      </c>
      <c r="G111" s="62" t="n">
        <f aca="false">Engagement_Register!$AP$11*(Assumptions!$C$146*(Assumptions!G$187&gt;=Engagement_Register!$AG$11)+Assumptions!$C$147*(Assumptions!G$187&gt;=Engagement_Register!$AI$11)+Assumptions!$C$148*(Assumptions!G$187&gt;=Engagement_Register!$AH$11))</f>
        <v>120000</v>
      </c>
      <c r="H111" s="62" t="n">
        <f aca="false">Engagement_Register!$AP$11*(Assumptions!$C$146*(Assumptions!H$187&gt;=Engagement_Register!$AG$11)+Assumptions!$C$147*(Assumptions!H$187&gt;=Engagement_Register!$AI$11)+Assumptions!$C$148*(Assumptions!H$187&gt;=Engagement_Register!$AH$11))</f>
        <v>120000</v>
      </c>
      <c r="I111" s="62" t="n">
        <f aca="false">Engagement_Register!$AP$11*(Assumptions!$C$146*(Assumptions!I$187&gt;=Engagement_Register!$AG$11)+Assumptions!$C$147*(Assumptions!I$187&gt;=Engagement_Register!$AI$11)+Assumptions!$C$148*(Assumptions!I$187&gt;=Engagement_Register!$AH$11))</f>
        <v>120000</v>
      </c>
      <c r="J111" s="62" t="n">
        <f aca="false">Engagement_Register!$AP$11*(Assumptions!$C$146*(Assumptions!J$187&gt;=Engagement_Register!$AG$11)+Assumptions!$C$147*(Assumptions!J$187&gt;=Engagement_Register!$AI$11)+Assumptions!$C$148*(Assumptions!J$187&gt;=Engagement_Register!$AH$11))</f>
        <v>120000</v>
      </c>
      <c r="K111" s="62" t="n">
        <f aca="false">Engagement_Register!$AP$11*(Assumptions!$C$146*(Assumptions!K$187&gt;=Engagement_Register!$AG$11)+Assumptions!$C$147*(Assumptions!K$187&gt;=Engagement_Register!$AI$11)+Assumptions!$C$148*(Assumptions!K$187&gt;=Engagement_Register!$AH$11))</f>
        <v>120000</v>
      </c>
      <c r="L111" s="62" t="n">
        <f aca="false">Engagement_Register!$AP$11*(Assumptions!$C$146*(Assumptions!L$187&gt;=Engagement_Register!$AG$11)+Assumptions!$C$147*(Assumptions!L$187&gt;=Engagement_Register!$AI$11)+Assumptions!$C$148*(Assumptions!L$187&gt;=Engagement_Register!$AH$11))</f>
        <v>120000</v>
      </c>
      <c r="M111" s="62" t="n">
        <f aca="false">Engagement_Register!$AP$11*(Assumptions!$C$146*(Assumptions!M$187&gt;=Engagement_Register!$AG$11)+Assumptions!$C$147*(Assumptions!M$187&gt;=Engagement_Register!$AI$11)+Assumptions!$C$148*(Assumptions!M$187&gt;=Engagement_Register!$AH$11))</f>
        <v>120000</v>
      </c>
      <c r="N111" s="62" t="n">
        <f aca="false">Engagement_Register!$AP$11*(Assumptions!$C$146*(Assumptions!N$187&gt;=Engagement_Register!$AG$11)+Assumptions!$C$147*(Assumptions!N$187&gt;=Engagement_Register!$AI$11)+Assumptions!$C$148*(Assumptions!N$187&gt;=Engagement_Register!$AH$11))</f>
        <v>120000</v>
      </c>
      <c r="O111" s="62" t="n">
        <f aca="false">Engagement_Register!$AP$11*(Assumptions!$C$146*(Assumptions!O$187&gt;=Engagement_Register!$AG$11)+Assumptions!$C$147*(Assumptions!O$187&gt;=Engagement_Register!$AI$11)+Assumptions!$C$148*(Assumptions!O$187&gt;=Engagement_Register!$AH$11))</f>
        <v>120000</v>
      </c>
      <c r="P111" s="62" t="n">
        <f aca="false">Engagement_Register!$AP$11*(Assumptions!$C$146*(Assumptions!P$187&gt;=Engagement_Register!$AG$11)+Assumptions!$C$147*(Assumptions!P$187&gt;=Engagement_Register!$AI$11)+Assumptions!$C$148*(Assumptions!P$187&gt;=Engagement_Register!$AH$11))</f>
        <v>120000</v>
      </c>
      <c r="Q111" s="62" t="n">
        <f aca="false">Engagement_Register!$AP$11*(Assumptions!$C$146*(Assumptions!Q$187&gt;=Engagement_Register!$AG$11)+Assumptions!$C$147*(Assumptions!Q$187&gt;=Engagement_Register!$AI$11)+Assumptions!$C$148*(Assumptions!Q$187&gt;=Engagement_Register!$AH$11))</f>
        <v>120000</v>
      </c>
      <c r="R111" s="62" t="n">
        <f aca="false">Engagement_Register!$AP$11*(Assumptions!$C$146*(Assumptions!R$187&gt;=Engagement_Register!$AG$11)+Assumptions!$C$147*(Assumptions!R$187&gt;=Engagement_Register!$AI$11)+Assumptions!$C$148*(Assumptions!R$187&gt;=Engagement_Register!$AH$11))</f>
        <v>120000</v>
      </c>
      <c r="S111" s="62" t="n">
        <f aca="false">Engagement_Register!$AP$11*(Assumptions!$C$146*(Assumptions!S$187&gt;=Engagement_Register!$AG$11)+Assumptions!$C$147*(Assumptions!S$187&gt;=Engagement_Register!$AI$11)+Assumptions!$C$148*(Assumptions!S$187&gt;=Engagement_Register!$AH$11))</f>
        <v>120000</v>
      </c>
      <c r="T111" s="62" t="n">
        <f aca="false">Engagement_Register!$AP$11*(Assumptions!$C$146*(Assumptions!T$187&gt;=Engagement_Register!$AG$11)+Assumptions!$C$147*(Assumptions!T$187&gt;=Engagement_Register!$AI$11)+Assumptions!$C$148*(Assumptions!T$187&gt;=Engagement_Register!$AH$11))</f>
        <v>120000</v>
      </c>
      <c r="U111" s="62" t="n">
        <f aca="false">Engagement_Register!$AP$11*(Assumptions!$C$146*(Assumptions!U$187&gt;=Engagement_Register!$AG$11)+Assumptions!$C$147*(Assumptions!U$187&gt;=Engagement_Register!$AI$11)+Assumptions!$C$148*(Assumptions!U$187&gt;=Engagement_Register!$AH$11))</f>
        <v>120000</v>
      </c>
      <c r="V111" s="62" t="n">
        <f aca="false">Engagement_Register!$AP$11*(Assumptions!$C$146*(Assumptions!V$187&gt;=Engagement_Register!$AG$11)+Assumptions!$C$147*(Assumptions!V$187&gt;=Engagement_Register!$AI$11)+Assumptions!$C$148*(Assumptions!V$187&gt;=Engagement_Register!$AH$11))</f>
        <v>120000</v>
      </c>
      <c r="W111" s="62" t="n">
        <f aca="false">Engagement_Register!$AP$11*(Assumptions!$C$146*(Assumptions!W$187&gt;=Engagement_Register!$AG$11)+Assumptions!$C$147*(Assumptions!W$187&gt;=Engagement_Register!$AI$11)+Assumptions!$C$148*(Assumptions!W$187&gt;=Engagement_Register!$AH$11))</f>
        <v>120000</v>
      </c>
      <c r="X111" s="62" t="n">
        <f aca="false">Engagement_Register!$AP$11*(Assumptions!$C$146*(Assumptions!X$187&gt;=Engagement_Register!$AG$11)+Assumptions!$C$147*(Assumptions!X$187&gt;=Engagement_Register!$AI$11)+Assumptions!$C$148*(Assumptions!X$187&gt;=Engagement_Register!$AH$11))</f>
        <v>120000</v>
      </c>
      <c r="Y111" s="62" t="n">
        <f aca="false">Engagement_Register!$AP$11*(Assumptions!$C$146*(Assumptions!Y$187&gt;=Engagement_Register!$AG$11)+Assumptions!$C$147*(Assumptions!Y$187&gt;=Engagement_Register!$AI$11)+Assumptions!$C$148*(Assumptions!Y$187&gt;=Engagement_Register!$AH$11))</f>
        <v>120000</v>
      </c>
      <c r="Z111" s="62" t="n">
        <f aca="false">Engagement_Register!$AP$11*(Assumptions!$C$146*(Assumptions!Z$187&gt;=Engagement_Register!$AG$11)+Assumptions!$C$147*(Assumptions!Z$187&gt;=Engagement_Register!$AI$11)+Assumptions!$C$148*(Assumptions!Z$187&gt;=Engagement_Register!$AH$11))</f>
        <v>120000</v>
      </c>
      <c r="AA111" s="62" t="n">
        <f aca="false">Engagement_Register!$AP$11*(Assumptions!$C$146*(Assumptions!AA$187&gt;=Engagement_Register!$AG$11)+Assumptions!$C$147*(Assumptions!AA$187&gt;=Engagement_Register!$AI$11)+Assumptions!$C$148*(Assumptions!AA$187&gt;=Engagement_Register!$AH$11))</f>
        <v>120000</v>
      </c>
      <c r="AB111" s="62" t="n">
        <f aca="false">Engagement_Register!$AP$11*(Assumptions!$C$146*(Assumptions!AB$187&gt;=Engagement_Register!$AG$11)+Assumptions!$C$147*(Assumptions!AB$187&gt;=Engagement_Register!$AI$11)+Assumptions!$C$148*(Assumptions!AB$187&gt;=Engagement_Register!$AH$11))</f>
        <v>120000</v>
      </c>
    </row>
    <row r="112" customFormat="false" ht="15" hidden="false" customHeight="false" outlineLevel="0" collapsed="false">
      <c r="A112" s="29" t="s">
        <v>838</v>
      </c>
      <c r="B112" s="60" t="s">
        <v>869</v>
      </c>
      <c r="C112" s="61" t="n">
        <f aca="false">SUM(E112:P112)</f>
        <v>84000</v>
      </c>
      <c r="D112" s="61" t="n">
        <f aca="false">SUM(Q112:AB112)</f>
        <v>0</v>
      </c>
      <c r="E112" s="62" t="n">
        <f aca="false">IF(E$5="A",Inputs_Actuals!E35,MAX(0,E111-Engagement_Register!$V$11))</f>
        <v>48000</v>
      </c>
      <c r="F112" s="62" t="n">
        <f aca="false">IF(F$5="A",Inputs_Actuals!F35,MAX(0,F111-E113))</f>
        <v>0</v>
      </c>
      <c r="G112" s="62" t="n">
        <f aca="false">IF(G$5="A",Inputs_Actuals!G35,MAX(0,G111-F113))</f>
        <v>36000</v>
      </c>
      <c r="H112" s="62" t="n">
        <f aca="false">IF(H$5="A",Inputs_Actuals!H35,MAX(0,H111-G113))</f>
        <v>0</v>
      </c>
      <c r="I112" s="62" t="n">
        <f aca="false">IF(I$5="A",Inputs_Actuals!I35,MAX(0,I111-H113))</f>
        <v>0</v>
      </c>
      <c r="J112" s="62" t="n">
        <f aca="false">IF(J$5="A",Inputs_Actuals!J35,MAX(0,J111-I113))</f>
        <v>0</v>
      </c>
      <c r="K112" s="62" t="n">
        <f aca="false">IF(K$5="A",Inputs_Actuals!K35,MAX(0,K111-J113))</f>
        <v>0</v>
      </c>
      <c r="L112" s="62" t="n">
        <f aca="false">IF(L$5="A",Inputs_Actuals!L35,MAX(0,L111-K113))</f>
        <v>0</v>
      </c>
      <c r="M112" s="62" t="n">
        <f aca="false">IF(M$5="A",Inputs_Actuals!M35,MAX(0,M111-L113))</f>
        <v>0</v>
      </c>
      <c r="N112" s="62" t="n">
        <f aca="false">IF(N$5="A",Inputs_Actuals!N35,MAX(0,N111-M113))</f>
        <v>0</v>
      </c>
      <c r="O112" s="62" t="n">
        <f aca="false">IF(O$5="A",Inputs_Actuals!O35,MAX(0,O111-N113))</f>
        <v>0</v>
      </c>
      <c r="P112" s="62" t="n">
        <f aca="false">IF(P$5="A",Inputs_Actuals!P35,MAX(0,P111-O113))</f>
        <v>0</v>
      </c>
      <c r="Q112" s="62" t="n">
        <f aca="false">IF(Q$5="A",Inputs_Actuals!Q35,MAX(0,Q111-P113))</f>
        <v>0</v>
      </c>
      <c r="R112" s="62" t="n">
        <f aca="false">IF(R$5="A",Inputs_Actuals!R35,MAX(0,R111-Q113))</f>
        <v>0</v>
      </c>
      <c r="S112" s="62" t="n">
        <f aca="false">IF(S$5="A",Inputs_Actuals!S35,MAX(0,S111-R113))</f>
        <v>0</v>
      </c>
      <c r="T112" s="62" t="n">
        <f aca="false">IF(T$5="A",Inputs_Actuals!T35,MAX(0,T111-S113))</f>
        <v>0</v>
      </c>
      <c r="U112" s="62" t="n">
        <f aca="false">IF(U$5="A",Inputs_Actuals!U35,MAX(0,U111-T113))</f>
        <v>0</v>
      </c>
      <c r="V112" s="62" t="n">
        <f aca="false">IF(V$5="A",Inputs_Actuals!V35,MAX(0,V111-U113))</f>
        <v>0</v>
      </c>
      <c r="W112" s="62" t="n">
        <f aca="false">IF(W$5="A",Inputs_Actuals!W35,MAX(0,W111-V113))</f>
        <v>0</v>
      </c>
      <c r="X112" s="62" t="n">
        <f aca="false">IF(X$5="A",Inputs_Actuals!X35,MAX(0,X111-W113))</f>
        <v>0</v>
      </c>
      <c r="Y112" s="62" t="n">
        <f aca="false">IF(Y$5="A",Inputs_Actuals!Y35,MAX(0,Y111-X113))</f>
        <v>0</v>
      </c>
      <c r="Z112" s="62" t="n">
        <f aca="false">IF(Z$5="A",Inputs_Actuals!Z35,MAX(0,Z111-Y113))</f>
        <v>0</v>
      </c>
      <c r="AA112" s="62" t="n">
        <f aca="false">IF(AA$5="A",Inputs_Actuals!AA35,MAX(0,AA111-Z113))</f>
        <v>0</v>
      </c>
      <c r="AB112" s="62" t="n">
        <f aca="false">IF(AB$5="A",Inputs_Actuals!AB35,MAX(0,AB111-AA113))</f>
        <v>0</v>
      </c>
    </row>
    <row r="113" customFormat="false" ht="15" hidden="false" customHeight="false" outlineLevel="0" collapsed="false">
      <c r="A113" s="29" t="s">
        <v>840</v>
      </c>
      <c r="B113" s="60"/>
      <c r="C113" s="61" t="n">
        <f aca="false">P113</f>
        <v>120000</v>
      </c>
      <c r="D113" s="61" t="n">
        <f aca="false">AB113</f>
        <v>120000</v>
      </c>
      <c r="E113" s="62" t="n">
        <f aca="false">Engagement_Register!$V$11+E112</f>
        <v>84000</v>
      </c>
      <c r="F113" s="71" t="n">
        <f aca="false">E113+F112</f>
        <v>84000</v>
      </c>
      <c r="G113" s="71" t="n">
        <f aca="false">F113+G112</f>
        <v>120000</v>
      </c>
      <c r="H113" s="71" t="n">
        <f aca="false">G113+H112</f>
        <v>120000</v>
      </c>
      <c r="I113" s="71" t="n">
        <f aca="false">H113+I112</f>
        <v>120000</v>
      </c>
      <c r="J113" s="71" t="n">
        <f aca="false">I113+J112</f>
        <v>120000</v>
      </c>
      <c r="K113" s="71" t="n">
        <f aca="false">J113+K112</f>
        <v>120000</v>
      </c>
      <c r="L113" s="71" t="n">
        <f aca="false">K113+L112</f>
        <v>120000</v>
      </c>
      <c r="M113" s="71" t="n">
        <f aca="false">L113+M112</f>
        <v>120000</v>
      </c>
      <c r="N113" s="71" t="n">
        <f aca="false">M113+N112</f>
        <v>120000</v>
      </c>
      <c r="O113" s="71" t="n">
        <f aca="false">N113+O112</f>
        <v>120000</v>
      </c>
      <c r="P113" s="71" t="n">
        <f aca="false">O113+P112</f>
        <v>120000</v>
      </c>
      <c r="Q113" s="71" t="n">
        <f aca="false">P113+Q112</f>
        <v>120000</v>
      </c>
      <c r="R113" s="71" t="n">
        <f aca="false">Q113+R112</f>
        <v>120000</v>
      </c>
      <c r="S113" s="71" t="n">
        <f aca="false">R113+S112</f>
        <v>120000</v>
      </c>
      <c r="T113" s="71" t="n">
        <f aca="false">S113+T112</f>
        <v>120000</v>
      </c>
      <c r="U113" s="71" t="n">
        <f aca="false">T113+U112</f>
        <v>120000</v>
      </c>
      <c r="V113" s="71" t="n">
        <f aca="false">U113+V112</f>
        <v>120000</v>
      </c>
      <c r="W113" s="71" t="n">
        <f aca="false">V113+W112</f>
        <v>120000</v>
      </c>
      <c r="X113" s="71" t="n">
        <f aca="false">W113+X112</f>
        <v>120000</v>
      </c>
      <c r="Y113" s="71" t="n">
        <f aca="false">X113+Y112</f>
        <v>120000</v>
      </c>
      <c r="Z113" s="71" t="n">
        <f aca="false">Y113+Z112</f>
        <v>120000</v>
      </c>
      <c r="AA113" s="71" t="n">
        <f aca="false">Z113+AA112</f>
        <v>120000</v>
      </c>
      <c r="AB113" s="71" t="n">
        <f aca="false">AA113+AB112</f>
        <v>120000</v>
      </c>
    </row>
    <row r="114" customFormat="false" ht="15" hidden="false" customHeight="false" outlineLevel="0" collapsed="false">
      <c r="A114" s="29" t="s">
        <v>841</v>
      </c>
      <c r="B114" s="60" t="s">
        <v>842</v>
      </c>
      <c r="C114" s="61" t="n">
        <f aca="false">SUM(E114:P114)</f>
        <v>3189.89</v>
      </c>
      <c r="D114" s="61" t="n">
        <f aca="false">SUM(Q114:AB114)</f>
        <v>0</v>
      </c>
      <c r="E114" s="62" t="n">
        <f aca="false">IF(E$5="A",Inputs_Actuals!E36,E13*Engagement_Register!$N$11*Assumptions!E$195)</f>
        <v>939.12</v>
      </c>
      <c r="F114" s="62" t="n">
        <f aca="false">IF(F$5="A",Inputs_Actuals!F36,F13*Engagement_Register!$N$11*Assumptions!F$195)</f>
        <v>1153.58</v>
      </c>
      <c r="G114" s="62" t="n">
        <f aca="false">IF(G$5="A",Inputs_Actuals!G36,G13*Engagement_Register!$N$11*Assumptions!G$195)</f>
        <v>1097.19</v>
      </c>
      <c r="H114" s="62" t="n">
        <f aca="false">IF(H$5="A",Inputs_Actuals!H36,H13*Engagement_Register!$N$11*Assumptions!H$195)</f>
        <v>0</v>
      </c>
      <c r="I114" s="62" t="n">
        <f aca="false">IF(I$5="A",Inputs_Actuals!I36,I13*Engagement_Register!$N$11*Assumptions!I$195)</f>
        <v>0</v>
      </c>
      <c r="J114" s="62" t="n">
        <f aca="false">IF(J$5="A",Inputs_Actuals!J36,J13*Engagement_Register!$N$11*Assumptions!J$195)</f>
        <v>0</v>
      </c>
      <c r="K114" s="62" t="n">
        <f aca="false">IF(K$5="A",Inputs_Actuals!K36,K13*Engagement_Register!$N$11*Assumptions!K$195)</f>
        <v>0</v>
      </c>
      <c r="L114" s="62" t="n">
        <f aca="false">IF(L$5="A",Inputs_Actuals!L36,L13*Engagement_Register!$N$11*Assumptions!L$195)</f>
        <v>0</v>
      </c>
      <c r="M114" s="62" t="n">
        <f aca="false">IF(M$5="A",Inputs_Actuals!M36,M13*Engagement_Register!$N$11*Assumptions!M$195)</f>
        <v>0</v>
      </c>
      <c r="N114" s="62" t="n">
        <f aca="false">IF(N$5="A",Inputs_Actuals!N36,N13*Engagement_Register!$N$11*Assumptions!N$195)</f>
        <v>0</v>
      </c>
      <c r="O114" s="62" t="n">
        <f aca="false">IF(O$5="A",Inputs_Actuals!O36,O13*Engagement_Register!$N$11*Assumptions!O$195)</f>
        <v>0</v>
      </c>
      <c r="P114" s="62" t="n">
        <f aca="false">IF(P$5="A",Inputs_Actuals!P36,P13*Engagement_Register!$N$11*Assumptions!P$195)</f>
        <v>0</v>
      </c>
      <c r="Q114" s="62" t="n">
        <f aca="false">IF(Q$5="A",Inputs_Actuals!Q36,Q13*Engagement_Register!$N$11*Assumptions!Q$195)</f>
        <v>0</v>
      </c>
      <c r="R114" s="62" t="n">
        <f aca="false">IF(R$5="A",Inputs_Actuals!R36,R13*Engagement_Register!$N$11*Assumptions!R$195)</f>
        <v>0</v>
      </c>
      <c r="S114" s="62" t="n">
        <f aca="false">IF(S$5="A",Inputs_Actuals!S36,S13*Engagement_Register!$N$11*Assumptions!S$195)</f>
        <v>0</v>
      </c>
      <c r="T114" s="62" t="n">
        <f aca="false">IF(T$5="A",Inputs_Actuals!T36,T13*Engagement_Register!$N$11*Assumptions!T$195)</f>
        <v>0</v>
      </c>
      <c r="U114" s="62" t="n">
        <f aca="false">IF(U$5="A",Inputs_Actuals!U36,U13*Engagement_Register!$N$11*Assumptions!U$195)</f>
        <v>0</v>
      </c>
      <c r="V114" s="62" t="n">
        <f aca="false">IF(V$5="A",Inputs_Actuals!V36,V13*Engagement_Register!$N$11*Assumptions!V$195)</f>
        <v>0</v>
      </c>
      <c r="W114" s="62" t="n">
        <f aca="false">IF(W$5="A",Inputs_Actuals!W36,W13*Engagement_Register!$N$11*Assumptions!W$195)</f>
        <v>0</v>
      </c>
      <c r="X114" s="62" t="n">
        <f aca="false">IF(X$5="A",Inputs_Actuals!X36,X13*Engagement_Register!$N$11*Assumptions!X$195)</f>
        <v>0</v>
      </c>
      <c r="Y114" s="62" t="n">
        <f aca="false">IF(Y$5="A",Inputs_Actuals!Y36,Y13*Engagement_Register!$N$11*Assumptions!Y$195)</f>
        <v>0</v>
      </c>
      <c r="Z114" s="62" t="n">
        <f aca="false">IF(Z$5="A",Inputs_Actuals!Z36,Z13*Engagement_Register!$N$11*Assumptions!Z$195)</f>
        <v>0</v>
      </c>
      <c r="AA114" s="62" t="n">
        <f aca="false">IF(AA$5="A",Inputs_Actuals!AA36,AA13*Engagement_Register!$N$11*Assumptions!AA$195)</f>
        <v>0</v>
      </c>
      <c r="AB114" s="62" t="n">
        <f aca="false">IF(AB$5="A",Inputs_Actuals!AB36,AB13*Engagement_Register!$N$11*Assumptions!AB$195)</f>
        <v>0</v>
      </c>
    </row>
    <row r="115" customFormat="false" ht="15" hidden="false" customHeight="false" outlineLevel="0" collapsed="false">
      <c r="A115" s="29" t="s">
        <v>847</v>
      </c>
      <c r="B115" s="60" t="s">
        <v>848</v>
      </c>
      <c r="C115" s="61" t="n">
        <f aca="false">P115</f>
        <v>0</v>
      </c>
      <c r="D115" s="61" t="n">
        <f aca="false">AB115</f>
        <v>0</v>
      </c>
      <c r="E115" s="62" t="n">
        <f aca="false">Engagement_Register!$X$11+E110-E112</f>
        <v>-12731.25</v>
      </c>
      <c r="F115" s="71" t="n">
        <f aca="false">E115+F110-F112</f>
        <v>10650</v>
      </c>
      <c r="G115" s="71" t="n">
        <f aca="false">F115+G110-G112</f>
        <v>0</v>
      </c>
      <c r="H115" s="71" t="n">
        <f aca="false">G115+H110-H112</f>
        <v>0</v>
      </c>
      <c r="I115" s="71" t="n">
        <f aca="false">H115+I110-I112</f>
        <v>0</v>
      </c>
      <c r="J115" s="71" t="n">
        <f aca="false">I115+J110-J112</f>
        <v>0</v>
      </c>
      <c r="K115" s="71" t="n">
        <f aca="false">J115+K110-K112</f>
        <v>0</v>
      </c>
      <c r="L115" s="71" t="n">
        <f aca="false">K115+L110-L112</f>
        <v>0</v>
      </c>
      <c r="M115" s="71" t="n">
        <f aca="false">L115+M110-M112</f>
        <v>0</v>
      </c>
      <c r="N115" s="71" t="n">
        <f aca="false">M115+N110-N112</f>
        <v>0</v>
      </c>
      <c r="O115" s="71" t="n">
        <f aca="false">N115+O110-O112</f>
        <v>0</v>
      </c>
      <c r="P115" s="71" t="n">
        <f aca="false">O115+P110-P112</f>
        <v>0</v>
      </c>
      <c r="Q115" s="71" t="n">
        <f aca="false">P115+Q110-Q112</f>
        <v>0</v>
      </c>
      <c r="R115" s="71" t="n">
        <f aca="false">Q115+R110-R112</f>
        <v>0</v>
      </c>
      <c r="S115" s="71" t="n">
        <f aca="false">R115+S110-S112</f>
        <v>0</v>
      </c>
      <c r="T115" s="71" t="n">
        <f aca="false">S115+T110-T112</f>
        <v>0</v>
      </c>
      <c r="U115" s="71" t="n">
        <f aca="false">T115+U110-U112</f>
        <v>0</v>
      </c>
      <c r="V115" s="71" t="n">
        <f aca="false">U115+V110-V112</f>
        <v>0</v>
      </c>
      <c r="W115" s="71" t="n">
        <f aca="false">V115+W110-W112</f>
        <v>0</v>
      </c>
      <c r="X115" s="71" t="n">
        <f aca="false">W115+X110-X112</f>
        <v>0</v>
      </c>
      <c r="Y115" s="71" t="n">
        <f aca="false">X115+Y110-Y112</f>
        <v>0</v>
      </c>
      <c r="Z115" s="71" t="n">
        <f aca="false">Y115+Z110-Z112</f>
        <v>0</v>
      </c>
      <c r="AA115" s="71" t="n">
        <f aca="false">Z115+AA110-AA112</f>
        <v>0</v>
      </c>
      <c r="AB115" s="71" t="n">
        <f aca="false">AA115+AB110-AB112</f>
        <v>0</v>
      </c>
    </row>
    <row r="116" customFormat="false" ht="15" hidden="false" customHeight="false" outlineLevel="0" collapsed="false">
      <c r="A116" s="29" t="s">
        <v>849</v>
      </c>
      <c r="B116" s="60" t="s">
        <v>850</v>
      </c>
      <c r="C116" s="61" t="n">
        <f aca="false">P116</f>
        <v>0</v>
      </c>
      <c r="D116" s="61" t="n">
        <f aca="false">AB116</f>
        <v>0</v>
      </c>
      <c r="E116" s="62" t="n">
        <f aca="false">MAX(0,Engagement_Register!$AP$11-E109)</f>
        <v>48731.25</v>
      </c>
      <c r="F116" s="62" t="n">
        <f aca="false">MAX(0,Engagement_Register!$AP$11-F109)</f>
        <v>25350</v>
      </c>
      <c r="G116" s="62" t="n">
        <f aca="false">MAX(0,Engagement_Register!$AP$11-G109)</f>
        <v>0</v>
      </c>
      <c r="H116" s="62" t="n">
        <f aca="false">MAX(0,Engagement_Register!$AP$11-H109)</f>
        <v>0</v>
      </c>
      <c r="I116" s="62" t="n">
        <f aca="false">MAX(0,Engagement_Register!$AP$11-I109)</f>
        <v>0</v>
      </c>
      <c r="J116" s="62" t="n">
        <f aca="false">MAX(0,Engagement_Register!$AP$11-J109)</f>
        <v>0</v>
      </c>
      <c r="K116" s="62" t="n">
        <f aca="false">MAX(0,Engagement_Register!$AP$11-K109)</f>
        <v>0</v>
      </c>
      <c r="L116" s="62" t="n">
        <f aca="false">MAX(0,Engagement_Register!$AP$11-L109)</f>
        <v>0</v>
      </c>
      <c r="M116" s="62" t="n">
        <f aca="false">MAX(0,Engagement_Register!$AP$11-M109)</f>
        <v>0</v>
      </c>
      <c r="N116" s="62" t="n">
        <f aca="false">MAX(0,Engagement_Register!$AP$11-N109)</f>
        <v>0</v>
      </c>
      <c r="O116" s="62" t="n">
        <f aca="false">MAX(0,Engagement_Register!$AP$11-O109)</f>
        <v>0</v>
      </c>
      <c r="P116" s="62" t="n">
        <f aca="false">MAX(0,Engagement_Register!$AP$11-P109)</f>
        <v>0</v>
      </c>
      <c r="Q116" s="62" t="n">
        <f aca="false">MAX(0,Engagement_Register!$AP$11-Q109)</f>
        <v>0</v>
      </c>
      <c r="R116" s="62" t="n">
        <f aca="false">MAX(0,Engagement_Register!$AP$11-R109)</f>
        <v>0</v>
      </c>
      <c r="S116" s="62" t="n">
        <f aca="false">MAX(0,Engagement_Register!$AP$11-S109)</f>
        <v>0</v>
      </c>
      <c r="T116" s="62" t="n">
        <f aca="false">MAX(0,Engagement_Register!$AP$11-T109)</f>
        <v>0</v>
      </c>
      <c r="U116" s="62" t="n">
        <f aca="false">MAX(0,Engagement_Register!$AP$11-U109)</f>
        <v>0</v>
      </c>
      <c r="V116" s="62" t="n">
        <f aca="false">MAX(0,Engagement_Register!$AP$11-V109)</f>
        <v>0</v>
      </c>
      <c r="W116" s="62" t="n">
        <f aca="false">MAX(0,Engagement_Register!$AP$11-W109)</f>
        <v>0</v>
      </c>
      <c r="X116" s="62" t="n">
        <f aca="false">MAX(0,Engagement_Register!$AP$11-X109)</f>
        <v>0</v>
      </c>
      <c r="Y116" s="62" t="n">
        <f aca="false">MAX(0,Engagement_Register!$AP$11-Y109)</f>
        <v>0</v>
      </c>
      <c r="Z116" s="62" t="n">
        <f aca="false">MAX(0,Engagement_Register!$AP$11-Z109)</f>
        <v>0</v>
      </c>
      <c r="AA116" s="62" t="n">
        <f aca="false">MAX(0,Engagement_Register!$AP$11-AA109)</f>
        <v>0</v>
      </c>
      <c r="AB116" s="62" t="n">
        <f aca="false">MAX(0,Engagement_Register!$AP$11-AB109)</f>
        <v>0</v>
      </c>
    </row>
    <row r="117" customFormat="false" ht="15" hidden="false" customHeight="false" outlineLevel="0" collapsed="false">
      <c r="A117" s="29" t="s">
        <v>861</v>
      </c>
      <c r="B117" s="60" t="s">
        <v>862</v>
      </c>
      <c r="E117" s="62" t="n">
        <f aca="false">IF(E$5="A",ROUND(E109-E106*Engagement_Register!$AP$11,0),0)</f>
        <v>0</v>
      </c>
      <c r="F117" s="62" t="n">
        <f aca="false">IF(F$5="A",ROUND(F109-F106*Engagement_Register!$AP$11,0),0)</f>
        <v>0</v>
      </c>
      <c r="G117" s="62" t="n">
        <f aca="false">IF(G$5="A",ROUND(G109-G106*Engagement_Register!$AP$11,0),0)</f>
        <v>0</v>
      </c>
      <c r="H117" s="62" t="n">
        <f aca="false">IF(H$5="A",ROUND(H109-H106*Engagement_Register!$AP$11,0),0)</f>
        <v>0</v>
      </c>
      <c r="I117" s="62" t="n">
        <f aca="false">IF(I$5="A",ROUND(I109-I106*Engagement_Register!$AP$11,0),0)</f>
        <v>0</v>
      </c>
      <c r="J117" s="62" t="n">
        <f aca="false">IF(J$5="A",ROUND(J109-J106*Engagement_Register!$AP$11,0),0)</f>
        <v>0</v>
      </c>
      <c r="K117" s="62" t="n">
        <f aca="false">IF(K$5="A",ROUND(K109-K106*Engagement_Register!$AP$11,0),0)</f>
        <v>0</v>
      </c>
      <c r="L117" s="62" t="n">
        <f aca="false">IF(L$5="A",ROUND(L109-L106*Engagement_Register!$AP$11,0),0)</f>
        <v>0</v>
      </c>
      <c r="M117" s="62" t="n">
        <f aca="false">IF(M$5="A",ROUND(M109-M106*Engagement_Register!$AP$11,0),0)</f>
        <v>0</v>
      </c>
      <c r="N117" s="62" t="n">
        <f aca="false">IF(N$5="A",ROUND(N109-N106*Engagement_Register!$AP$11,0),0)</f>
        <v>0</v>
      </c>
      <c r="O117" s="62" t="n">
        <f aca="false">IF(O$5="A",ROUND(O109-O106*Engagement_Register!$AP$11,0),0)</f>
        <v>0</v>
      </c>
      <c r="P117" s="62" t="n">
        <f aca="false">IF(P$5="A",ROUND(P109-P106*Engagement_Register!$AP$11,0),0)</f>
        <v>0</v>
      </c>
      <c r="Q117" s="62" t="n">
        <f aca="false">IF(Q$5="A",ROUND(Q109-Q106*Engagement_Register!$AP$11,0),0)</f>
        <v>0</v>
      </c>
      <c r="R117" s="62" t="n">
        <f aca="false">IF(R$5="A",ROUND(R109-R106*Engagement_Register!$AP$11,0),0)</f>
        <v>0</v>
      </c>
      <c r="S117" s="62" t="n">
        <f aca="false">IF(S$5="A",ROUND(S109-S106*Engagement_Register!$AP$11,0),0)</f>
        <v>0</v>
      </c>
      <c r="T117" s="62" t="n">
        <f aca="false">IF(T$5="A",ROUND(T109-T106*Engagement_Register!$AP$11,0),0)</f>
        <v>0</v>
      </c>
      <c r="U117" s="62" t="n">
        <f aca="false">IF(U$5="A",ROUND(U109-U106*Engagement_Register!$AP$11,0),0)</f>
        <v>0</v>
      </c>
      <c r="V117" s="62" t="n">
        <f aca="false">IF(V$5="A",ROUND(V109-V106*Engagement_Register!$AP$11,0),0)</f>
        <v>0</v>
      </c>
      <c r="W117" s="62" t="n">
        <f aca="false">IF(W$5="A",ROUND(W109-W106*Engagement_Register!$AP$11,0),0)</f>
        <v>0</v>
      </c>
      <c r="X117" s="62" t="n">
        <f aca="false">IF(X$5="A",ROUND(X109-X106*Engagement_Register!$AP$11,0),0)</f>
        <v>0</v>
      </c>
      <c r="Y117" s="62" t="n">
        <f aca="false">IF(Y$5="A",ROUND(Y109-Y106*Engagement_Register!$AP$11,0),0)</f>
        <v>0</v>
      </c>
      <c r="Z117" s="62" t="n">
        <f aca="false">IF(Z$5="A",ROUND(Z109-Z106*Engagement_Register!$AP$11,0),0)</f>
        <v>0</v>
      </c>
      <c r="AA117" s="62" t="n">
        <f aca="false">IF(AA$5="A",ROUND(AA109-AA106*Engagement_Register!$AP$11,0),0)</f>
        <v>0</v>
      </c>
      <c r="AB117" s="62" t="n">
        <f aca="false">IF(AB$5="A",ROUND(AB109-AB106*Engagement_Register!$AP$11,0),0)</f>
        <v>0</v>
      </c>
    </row>
    <row r="119" customFormat="false" ht="15" hidden="false" customHeight="false" outlineLevel="0" collapsed="false">
      <c r="A119" s="23" t="s">
        <v>871</v>
      </c>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row>
    <row r="120" customFormat="false" ht="15" hidden="false" customHeight="false" outlineLevel="0" collapsed="false">
      <c r="A120" s="29" t="s">
        <v>736</v>
      </c>
      <c r="B120" s="60" t="s">
        <v>832</v>
      </c>
      <c r="C120" s="66" t="n">
        <f aca="false">P120</f>
        <v>1399.7</v>
      </c>
      <c r="D120" s="66" t="n">
        <f aca="false">AB120</f>
        <v>1399.7</v>
      </c>
      <c r="E120" s="67" t="n">
        <f aca="false">Engagement_Register!$T$12+E14</f>
        <v>377.8</v>
      </c>
      <c r="F120" s="72" t="n">
        <f aca="false">E120+F14</f>
        <v>574.1</v>
      </c>
      <c r="G120" s="72" t="n">
        <f aca="false">F120+G14</f>
        <v>773.7</v>
      </c>
      <c r="H120" s="72" t="n">
        <f aca="false">G120+H14</f>
        <v>960.7</v>
      </c>
      <c r="I120" s="72" t="n">
        <f aca="false">H120+I14</f>
        <v>1117.3</v>
      </c>
      <c r="J120" s="72" t="n">
        <f aca="false">I120+J14</f>
        <v>1314.2</v>
      </c>
      <c r="K120" s="72" t="n">
        <f aca="false">J120+K14</f>
        <v>1399.7</v>
      </c>
      <c r="L120" s="72" t="n">
        <f aca="false">K120+L14</f>
        <v>1399.7</v>
      </c>
      <c r="M120" s="72" t="n">
        <f aca="false">L120+M14</f>
        <v>1399.7</v>
      </c>
      <c r="N120" s="72" t="n">
        <f aca="false">M120+N14</f>
        <v>1399.7</v>
      </c>
      <c r="O120" s="72" t="n">
        <f aca="false">N120+O14</f>
        <v>1399.7</v>
      </c>
      <c r="P120" s="72" t="n">
        <f aca="false">O120+P14</f>
        <v>1399.7</v>
      </c>
      <c r="Q120" s="72" t="n">
        <f aca="false">P120+Q14</f>
        <v>1399.7</v>
      </c>
      <c r="R120" s="72" t="n">
        <f aca="false">Q120+R14</f>
        <v>1399.7</v>
      </c>
      <c r="S120" s="72" t="n">
        <f aca="false">R120+S14</f>
        <v>1399.7</v>
      </c>
      <c r="T120" s="72" t="n">
        <f aca="false">S120+T14</f>
        <v>1399.7</v>
      </c>
      <c r="U120" s="72" t="n">
        <f aca="false">T120+U14</f>
        <v>1399.7</v>
      </c>
      <c r="V120" s="72" t="n">
        <f aca="false">U120+V14</f>
        <v>1399.7</v>
      </c>
      <c r="W120" s="72" t="n">
        <f aca="false">V120+W14</f>
        <v>1399.7</v>
      </c>
      <c r="X120" s="72" t="n">
        <f aca="false">W120+X14</f>
        <v>1399.7</v>
      </c>
      <c r="Y120" s="72" t="n">
        <f aca="false">X120+Y14</f>
        <v>1399.7</v>
      </c>
      <c r="Z120" s="72" t="n">
        <f aca="false">Y120+Z14</f>
        <v>1399.7</v>
      </c>
      <c r="AA120" s="72" t="n">
        <f aca="false">Z120+AA14</f>
        <v>1399.7</v>
      </c>
      <c r="AB120" s="72" t="n">
        <f aca="false">AA120+AB14</f>
        <v>1399.7</v>
      </c>
    </row>
    <row r="121" customFormat="false" ht="15" hidden="false" customHeight="false" outlineLevel="0" collapsed="false">
      <c r="A121" s="29" t="s">
        <v>833</v>
      </c>
      <c r="B121" s="60" t="s">
        <v>834</v>
      </c>
      <c r="C121" s="61" t="n">
        <f aca="false">SUM(E121:P121)</f>
        <v>238439.74</v>
      </c>
      <c r="D121" s="61" t="n">
        <f aca="false">SUM(Q121:AB121)</f>
        <v>0</v>
      </c>
      <c r="E121" s="62" t="n">
        <f aca="false">E14*Engagement_Register!$AD$12*Assumptions!E$194</f>
        <v>37432.01</v>
      </c>
      <c r="F121" s="62" t="n">
        <f aca="false">F14*Engagement_Register!$AD$12*Assumptions!F$194</f>
        <v>38612.21</v>
      </c>
      <c r="G121" s="62" t="n">
        <f aca="false">G14*Engagement_Register!$AD$12*Assumptions!G$194</f>
        <v>39261.32</v>
      </c>
      <c r="H121" s="62" t="n">
        <f aca="false">H14*Engagement_Register!$AD$12*Assumptions!H$194</f>
        <v>36782.9</v>
      </c>
      <c r="I121" s="62" t="n">
        <f aca="false">I14*Engagement_Register!$AD$12*Assumptions!I$194</f>
        <v>30803.22</v>
      </c>
      <c r="J121" s="62" t="n">
        <f aca="false">J14*Engagement_Register!$AD$12*Assumptions!J$194</f>
        <v>38730.23</v>
      </c>
      <c r="K121" s="62" t="n">
        <f aca="false">K14*Engagement_Register!$AD$12*Assumptions!K$194</f>
        <v>16817.85</v>
      </c>
      <c r="L121" s="62" t="n">
        <f aca="false">L14*Engagement_Register!$AD$12*Assumptions!L$194</f>
        <v>0</v>
      </c>
      <c r="M121" s="62" t="n">
        <f aca="false">M14*Engagement_Register!$AD$12*Assumptions!M$194</f>
        <v>0</v>
      </c>
      <c r="N121" s="62" t="n">
        <f aca="false">N14*Engagement_Register!$AD$12*Assumptions!N$194</f>
        <v>0</v>
      </c>
      <c r="O121" s="62" t="n">
        <f aca="false">O14*Engagement_Register!$AD$12*Assumptions!O$194</f>
        <v>0</v>
      </c>
      <c r="P121" s="62" t="n">
        <f aca="false">P14*Engagement_Register!$AD$12*Assumptions!P$194</f>
        <v>0</v>
      </c>
      <c r="Q121" s="62" t="n">
        <f aca="false">Q14*Engagement_Register!$AD$12*Assumptions!Q$194</f>
        <v>0</v>
      </c>
      <c r="R121" s="62" t="n">
        <f aca="false">R14*Engagement_Register!$AD$12*Assumptions!R$194</f>
        <v>0</v>
      </c>
      <c r="S121" s="62" t="n">
        <f aca="false">S14*Engagement_Register!$AD$12*Assumptions!S$194</f>
        <v>0</v>
      </c>
      <c r="T121" s="62" t="n">
        <f aca="false">T14*Engagement_Register!$AD$12*Assumptions!T$194</f>
        <v>0</v>
      </c>
      <c r="U121" s="62" t="n">
        <f aca="false">U14*Engagement_Register!$AD$12*Assumptions!U$194</f>
        <v>0</v>
      </c>
      <c r="V121" s="62" t="n">
        <f aca="false">V14*Engagement_Register!$AD$12*Assumptions!V$194</f>
        <v>0</v>
      </c>
      <c r="W121" s="62" t="n">
        <f aca="false">W14*Engagement_Register!$AD$12*Assumptions!W$194</f>
        <v>0</v>
      </c>
      <c r="X121" s="62" t="n">
        <f aca="false">X14*Engagement_Register!$AD$12*Assumptions!X$194</f>
        <v>0</v>
      </c>
      <c r="Y121" s="62" t="n">
        <f aca="false">Y14*Engagement_Register!$AD$12*Assumptions!Y$194</f>
        <v>0</v>
      </c>
      <c r="Z121" s="62" t="n">
        <f aca="false">Z14*Engagement_Register!$AD$12*Assumptions!Z$194</f>
        <v>0</v>
      </c>
      <c r="AA121" s="62" t="n">
        <f aca="false">AA14*Engagement_Register!$AD$12*Assumptions!AA$194</f>
        <v>0</v>
      </c>
      <c r="AB121" s="62" t="n">
        <f aca="false">AB14*Engagement_Register!$AD$12*Assumptions!AB$194</f>
        <v>0</v>
      </c>
    </row>
    <row r="122" customFormat="false" ht="15" hidden="false" customHeight="false" outlineLevel="0" collapsed="false">
      <c r="A122" s="29" t="s">
        <v>835</v>
      </c>
      <c r="B122" s="60" t="s">
        <v>836</v>
      </c>
      <c r="C122" s="61" t="n">
        <f aca="false">SUM(E122:P122)</f>
        <v>214595.766</v>
      </c>
      <c r="D122" s="61" t="n">
        <f aca="false">SUM(Q122:AB122)</f>
        <v>0</v>
      </c>
      <c r="E122" s="62" t="n">
        <f aca="false">E14*Engagement_Register!$AE$12*Assumptions!E$194</f>
        <v>33688.809</v>
      </c>
      <c r="F122" s="62" t="n">
        <f aca="false">F14*Engagement_Register!$AE$12*Assumptions!F$194</f>
        <v>34750.989</v>
      </c>
      <c r="G122" s="62" t="n">
        <f aca="false">G14*Engagement_Register!$AE$12*Assumptions!G$194</f>
        <v>35335.188</v>
      </c>
      <c r="H122" s="62" t="n">
        <f aca="false">H14*Engagement_Register!$AE$12*Assumptions!H$194</f>
        <v>33104.61</v>
      </c>
      <c r="I122" s="62" t="n">
        <f aca="false">I14*Engagement_Register!$AE$12*Assumptions!I$194</f>
        <v>27722.898</v>
      </c>
      <c r="J122" s="62" t="n">
        <f aca="false">J14*Engagement_Register!$AE$12*Assumptions!J$194</f>
        <v>34857.207</v>
      </c>
      <c r="K122" s="62" t="n">
        <f aca="false">K14*Engagement_Register!$AE$12*Assumptions!K$194</f>
        <v>15136.065</v>
      </c>
      <c r="L122" s="62" t="n">
        <f aca="false">L14*Engagement_Register!$AE$12*Assumptions!L$194</f>
        <v>0</v>
      </c>
      <c r="M122" s="62" t="n">
        <f aca="false">M14*Engagement_Register!$AE$12*Assumptions!M$194</f>
        <v>0</v>
      </c>
      <c r="N122" s="62" t="n">
        <f aca="false">N14*Engagement_Register!$AE$12*Assumptions!N$194</f>
        <v>0</v>
      </c>
      <c r="O122" s="62" t="n">
        <f aca="false">O14*Engagement_Register!$AE$12*Assumptions!O$194</f>
        <v>0</v>
      </c>
      <c r="P122" s="62" t="n">
        <f aca="false">P14*Engagement_Register!$AE$12*Assumptions!P$194</f>
        <v>0</v>
      </c>
      <c r="Q122" s="62" t="n">
        <f aca="false">Q14*Engagement_Register!$AE$12*Assumptions!Q$194</f>
        <v>0</v>
      </c>
      <c r="R122" s="62" t="n">
        <f aca="false">R14*Engagement_Register!$AE$12*Assumptions!R$194</f>
        <v>0</v>
      </c>
      <c r="S122" s="62" t="n">
        <f aca="false">S14*Engagement_Register!$AE$12*Assumptions!S$194</f>
        <v>0</v>
      </c>
      <c r="T122" s="62" t="n">
        <f aca="false">T14*Engagement_Register!$AE$12*Assumptions!T$194</f>
        <v>0</v>
      </c>
      <c r="U122" s="62" t="n">
        <f aca="false">U14*Engagement_Register!$AE$12*Assumptions!U$194</f>
        <v>0</v>
      </c>
      <c r="V122" s="62" t="n">
        <f aca="false">V14*Engagement_Register!$AE$12*Assumptions!V$194</f>
        <v>0</v>
      </c>
      <c r="W122" s="62" t="n">
        <f aca="false">W14*Engagement_Register!$AE$12*Assumptions!W$194</f>
        <v>0</v>
      </c>
      <c r="X122" s="62" t="n">
        <f aca="false">X14*Engagement_Register!$AE$12*Assumptions!X$194</f>
        <v>0</v>
      </c>
      <c r="Y122" s="62" t="n">
        <f aca="false">Y14*Engagement_Register!$AE$12*Assumptions!Y$194</f>
        <v>0</v>
      </c>
      <c r="Z122" s="62" t="n">
        <f aca="false">Z14*Engagement_Register!$AE$12*Assumptions!Z$194</f>
        <v>0</v>
      </c>
      <c r="AA122" s="62" t="n">
        <f aca="false">AA14*Engagement_Register!$AE$12*Assumptions!AA$194</f>
        <v>0</v>
      </c>
      <c r="AB122" s="62" t="n">
        <f aca="false">AB14*Engagement_Register!$AE$12*Assumptions!AB$194</f>
        <v>0</v>
      </c>
    </row>
    <row r="123" customFormat="false" ht="15" hidden="false" customHeight="false" outlineLevel="0" collapsed="false">
      <c r="A123" s="68" t="s">
        <v>349</v>
      </c>
      <c r="B123" s="69" t="s">
        <v>837</v>
      </c>
      <c r="C123" s="70" t="n">
        <f aca="false">SUM(E123:P123)</f>
        <v>187820.36</v>
      </c>
      <c r="D123" s="70" t="n">
        <f aca="false">SUM(Q123:AB123)</f>
        <v>0</v>
      </c>
      <c r="E123" s="74" t="n">
        <f aca="false">IF(E$5="A",Inputs_Actuals!E39,E122*(1-Engagement_Register!$AS$12))</f>
        <v>31876.75</v>
      </c>
      <c r="F123" s="74" t="n">
        <f aca="false">IF(F$5="A",Inputs_Actuals!F39,F122*(1-Engagement_Register!$AS$12))</f>
        <v>32070.05</v>
      </c>
      <c r="G123" s="74" t="n">
        <f aca="false">IF(G$5="A",Inputs_Actuals!G39,G122*(1-Engagement_Register!$AS$12))</f>
        <v>33659.41</v>
      </c>
      <c r="H123" s="74" t="n">
        <f aca="false">IF(H$5="A",Inputs_Actuals!H39,H122*(1-Engagement_Register!$AS$12))</f>
        <v>31861.28</v>
      </c>
      <c r="I123" s="74" t="n">
        <f aca="false">IF(I$5="A",Inputs_Actuals!I39,I122*(1-Engagement_Register!$AS$12))</f>
        <v>26343.91</v>
      </c>
      <c r="J123" s="74" t="n">
        <f aca="false">IF(J$5="A",Inputs_Actuals!J39,J122*(1-Engagement_Register!$AS$12))</f>
        <v>32008.96</v>
      </c>
      <c r="K123" s="74" t="n">
        <f aca="false">IF(K$5="A",Inputs_Actuals!K39,K122*(1-Engagement_Register!$AS$12))</f>
        <v>0</v>
      </c>
      <c r="L123" s="74" t="n">
        <f aca="false">IF(L$5="A",Inputs_Actuals!L39,L122*(1-Engagement_Register!$AS$12))</f>
        <v>0</v>
      </c>
      <c r="M123" s="74" t="n">
        <f aca="false">IF(M$5="A",Inputs_Actuals!M39,M122*(1-Engagement_Register!$AS$12))</f>
        <v>0</v>
      </c>
      <c r="N123" s="74" t="n">
        <f aca="false">IF(N$5="A",Inputs_Actuals!N39,N122*(1-Engagement_Register!$AS$12))</f>
        <v>0</v>
      </c>
      <c r="O123" s="74" t="n">
        <f aca="false">IF(O$5="A",Inputs_Actuals!O39,O122*(1-Engagement_Register!$AS$12))</f>
        <v>0</v>
      </c>
      <c r="P123" s="74" t="n">
        <f aca="false">IF(P$5="A",Inputs_Actuals!P39,P122*(1-Engagement_Register!$AS$12))</f>
        <v>0</v>
      </c>
      <c r="Q123" s="74" t="n">
        <f aca="false">IF(Q$5="A",Inputs_Actuals!Q39,Q122*(1-Engagement_Register!$AS$12))</f>
        <v>0</v>
      </c>
      <c r="R123" s="74" t="n">
        <f aca="false">IF(R$5="A",Inputs_Actuals!R39,R122*(1-Engagement_Register!$AS$12))</f>
        <v>0</v>
      </c>
      <c r="S123" s="74" t="n">
        <f aca="false">IF(S$5="A",Inputs_Actuals!S39,S122*(1-Engagement_Register!$AS$12))</f>
        <v>0</v>
      </c>
      <c r="T123" s="74" t="n">
        <f aca="false">IF(T$5="A",Inputs_Actuals!T39,T122*(1-Engagement_Register!$AS$12))</f>
        <v>0</v>
      </c>
      <c r="U123" s="74" t="n">
        <f aca="false">IF(U$5="A",Inputs_Actuals!U39,U122*(1-Engagement_Register!$AS$12))</f>
        <v>0</v>
      </c>
      <c r="V123" s="74" t="n">
        <f aca="false">IF(V$5="A",Inputs_Actuals!V39,V122*(1-Engagement_Register!$AS$12))</f>
        <v>0</v>
      </c>
      <c r="W123" s="74" t="n">
        <f aca="false">IF(W$5="A",Inputs_Actuals!W39,W122*(1-Engagement_Register!$AS$12))</f>
        <v>0</v>
      </c>
      <c r="X123" s="74" t="n">
        <f aca="false">IF(X$5="A",Inputs_Actuals!X39,X122*(1-Engagement_Register!$AS$12))</f>
        <v>0</v>
      </c>
      <c r="Y123" s="74" t="n">
        <f aca="false">IF(Y$5="A",Inputs_Actuals!Y39,Y122*(1-Engagement_Register!$AS$12))</f>
        <v>0</v>
      </c>
      <c r="Z123" s="74" t="n">
        <f aca="false">IF(Z$5="A",Inputs_Actuals!Z39,Z122*(1-Engagement_Register!$AS$12))</f>
        <v>0</v>
      </c>
      <c r="AA123" s="74" t="n">
        <f aca="false">IF(AA$5="A",Inputs_Actuals!AA39,AA122*(1-Engagement_Register!$AS$12))</f>
        <v>0</v>
      </c>
      <c r="AB123" s="74" t="n">
        <f aca="false">IF(AB$5="A",Inputs_Actuals!AB39,AB122*(1-Engagement_Register!$AS$12))</f>
        <v>0</v>
      </c>
    </row>
    <row r="124" customFormat="false" ht="15" hidden="false" customHeight="false" outlineLevel="0" collapsed="false">
      <c r="A124" s="29" t="s">
        <v>838</v>
      </c>
      <c r="B124" s="60" t="s">
        <v>839</v>
      </c>
      <c r="C124" s="61" t="n">
        <f aca="false">SUM(E124:P124)</f>
        <v>219163.31</v>
      </c>
      <c r="D124" s="61" t="n">
        <f aca="false">SUM(Q124:AB124)</f>
        <v>0</v>
      </c>
      <c r="E124" s="62" t="n">
        <f aca="false">IF(E$5="A",Inputs_Actuals!E40,0)</f>
        <v>31342.95</v>
      </c>
      <c r="F124" s="62" t="n">
        <f aca="false">IF(F$5="A",Inputs_Actuals!F40,E123)</f>
        <v>31876.75</v>
      </c>
      <c r="G124" s="62" t="n">
        <f aca="false">IF(G$5="A",Inputs_Actuals!G40,F123)</f>
        <v>32070.05</v>
      </c>
      <c r="H124" s="62" t="n">
        <f aca="false">IF(H$5="A",Inputs_Actuals!H40,G123)</f>
        <v>33659.41</v>
      </c>
      <c r="I124" s="62" t="n">
        <f aca="false">IF(I$5="A",Inputs_Actuals!I40,H123)</f>
        <v>31861.28</v>
      </c>
      <c r="J124" s="62" t="n">
        <f aca="false">IF(J$5="A",Inputs_Actuals!J40,I123)</f>
        <v>26343.91</v>
      </c>
      <c r="K124" s="62" t="n">
        <f aca="false">IF(K$5="A",Inputs_Actuals!K40,J123)</f>
        <v>32008.96</v>
      </c>
      <c r="L124" s="62" t="n">
        <f aca="false">IF(L$5="A",Inputs_Actuals!L40,K123)</f>
        <v>0</v>
      </c>
      <c r="M124" s="62" t="n">
        <f aca="false">IF(M$5="A",Inputs_Actuals!M40,L123)</f>
        <v>0</v>
      </c>
      <c r="N124" s="62" t="n">
        <f aca="false">IF(N$5="A",Inputs_Actuals!N40,M123)</f>
        <v>0</v>
      </c>
      <c r="O124" s="62" t="n">
        <f aca="false">IF(O$5="A",Inputs_Actuals!O40,N123)</f>
        <v>0</v>
      </c>
      <c r="P124" s="62" t="n">
        <f aca="false">IF(P$5="A",Inputs_Actuals!P40,O123)</f>
        <v>0</v>
      </c>
      <c r="Q124" s="62" t="n">
        <f aca="false">IF(Q$5="A",Inputs_Actuals!Q40,P123)</f>
        <v>0</v>
      </c>
      <c r="R124" s="62" t="n">
        <f aca="false">IF(R$5="A",Inputs_Actuals!R40,Q123)</f>
        <v>0</v>
      </c>
      <c r="S124" s="62" t="n">
        <f aca="false">IF(S$5="A",Inputs_Actuals!S40,R123)</f>
        <v>0</v>
      </c>
      <c r="T124" s="62" t="n">
        <f aca="false">IF(T$5="A",Inputs_Actuals!T40,S123)</f>
        <v>0</v>
      </c>
      <c r="U124" s="62" t="n">
        <f aca="false">IF(U$5="A",Inputs_Actuals!U40,T123)</f>
        <v>0</v>
      </c>
      <c r="V124" s="62" t="n">
        <f aca="false">IF(V$5="A",Inputs_Actuals!V40,U123)</f>
        <v>0</v>
      </c>
      <c r="W124" s="62" t="n">
        <f aca="false">IF(W$5="A",Inputs_Actuals!W40,V123)</f>
        <v>0</v>
      </c>
      <c r="X124" s="62" t="n">
        <f aca="false">IF(X$5="A",Inputs_Actuals!X40,W123)</f>
        <v>0</v>
      </c>
      <c r="Y124" s="62" t="n">
        <f aca="false">IF(Y$5="A",Inputs_Actuals!Y40,X123)</f>
        <v>0</v>
      </c>
      <c r="Z124" s="62" t="n">
        <f aca="false">IF(Z$5="A",Inputs_Actuals!Z40,Y123)</f>
        <v>0</v>
      </c>
      <c r="AA124" s="62" t="n">
        <f aca="false">IF(AA$5="A",Inputs_Actuals!AA40,Z123)</f>
        <v>0</v>
      </c>
      <c r="AB124" s="62" t="n">
        <f aca="false">IF(AB$5="A",Inputs_Actuals!AB40,AA123)</f>
        <v>0</v>
      </c>
    </row>
    <row r="125" customFormat="false" ht="15" hidden="false" customHeight="false" outlineLevel="0" collapsed="false">
      <c r="A125" s="29" t="s">
        <v>840</v>
      </c>
      <c r="B125" s="60"/>
      <c r="C125" s="61" t="n">
        <f aca="false">P125</f>
        <v>219163.31</v>
      </c>
      <c r="D125" s="61" t="n">
        <f aca="false">AB125</f>
        <v>219163.31</v>
      </c>
      <c r="E125" s="62" t="n">
        <f aca="false">Engagement_Register!$V$12+E124</f>
        <v>31342.95</v>
      </c>
      <c r="F125" s="71" t="n">
        <f aca="false">E125+F124</f>
        <v>63219.7</v>
      </c>
      <c r="G125" s="71" t="n">
        <f aca="false">F125+G124</f>
        <v>95289.75</v>
      </c>
      <c r="H125" s="71" t="n">
        <f aca="false">G125+H124</f>
        <v>128949.16</v>
      </c>
      <c r="I125" s="71" t="n">
        <f aca="false">H125+I124</f>
        <v>160810.44</v>
      </c>
      <c r="J125" s="71" t="n">
        <f aca="false">I125+J124</f>
        <v>187154.35</v>
      </c>
      <c r="K125" s="71" t="n">
        <f aca="false">J125+K124</f>
        <v>219163.31</v>
      </c>
      <c r="L125" s="71" t="n">
        <f aca="false">K125+L124</f>
        <v>219163.31</v>
      </c>
      <c r="M125" s="71" t="n">
        <f aca="false">L125+M124</f>
        <v>219163.31</v>
      </c>
      <c r="N125" s="71" t="n">
        <f aca="false">M125+N124</f>
        <v>219163.31</v>
      </c>
      <c r="O125" s="71" t="n">
        <f aca="false">N125+O124</f>
        <v>219163.31</v>
      </c>
      <c r="P125" s="71" t="n">
        <f aca="false">O125+P124</f>
        <v>219163.31</v>
      </c>
      <c r="Q125" s="71" t="n">
        <f aca="false">P125+Q124</f>
        <v>219163.31</v>
      </c>
      <c r="R125" s="71" t="n">
        <f aca="false">Q125+R124</f>
        <v>219163.31</v>
      </c>
      <c r="S125" s="71" t="n">
        <f aca="false">R125+S124</f>
        <v>219163.31</v>
      </c>
      <c r="T125" s="71" t="n">
        <f aca="false">S125+T124</f>
        <v>219163.31</v>
      </c>
      <c r="U125" s="71" t="n">
        <f aca="false">T125+U124</f>
        <v>219163.31</v>
      </c>
      <c r="V125" s="71" t="n">
        <f aca="false">U125+V124</f>
        <v>219163.31</v>
      </c>
      <c r="W125" s="71" t="n">
        <f aca="false">V125+W124</f>
        <v>219163.31</v>
      </c>
      <c r="X125" s="71" t="n">
        <f aca="false">W125+X124</f>
        <v>219163.31</v>
      </c>
      <c r="Y125" s="71" t="n">
        <f aca="false">X125+Y124</f>
        <v>219163.31</v>
      </c>
      <c r="Z125" s="71" t="n">
        <f aca="false">Y125+Z124</f>
        <v>219163.31</v>
      </c>
      <c r="AA125" s="71" t="n">
        <f aca="false">Z125+AA124</f>
        <v>219163.31</v>
      </c>
      <c r="AB125" s="71" t="n">
        <f aca="false">AA125+AB124</f>
        <v>219163.31</v>
      </c>
    </row>
    <row r="126" customFormat="false" ht="15" hidden="false" customHeight="false" outlineLevel="0" collapsed="false">
      <c r="A126" s="29" t="s">
        <v>841</v>
      </c>
      <c r="B126" s="60" t="s">
        <v>842</v>
      </c>
      <c r="C126" s="61" t="n">
        <f aca="false">SUM(E126:P126)</f>
        <v>14576.77</v>
      </c>
      <c r="D126" s="61" t="n">
        <f aca="false">SUM(Q126:AB126)</f>
        <v>0</v>
      </c>
      <c r="E126" s="62" t="n">
        <f aca="false">IF(E$5="A",Inputs_Actuals!E41,E14*Engagement_Register!$N$12*Assumptions!E$195)</f>
        <v>2151.07</v>
      </c>
      <c r="F126" s="62" t="n">
        <f aca="false">IF(F$5="A",Inputs_Actuals!F41,F14*Engagement_Register!$N$12*Assumptions!F$195)</f>
        <v>2327.79</v>
      </c>
      <c r="G126" s="62" t="n">
        <f aca="false">IF(G$5="A",Inputs_Actuals!G41,G14*Engagement_Register!$N$12*Assumptions!G$195)</f>
        <v>2813.79</v>
      </c>
      <c r="H126" s="62" t="n">
        <f aca="false">IF(H$5="A",Inputs_Actuals!H41,H14*Engagement_Register!$N$12*Assumptions!H$195)</f>
        <v>3083.92</v>
      </c>
      <c r="I126" s="62" t="n">
        <f aca="false">IF(I$5="A",Inputs_Actuals!I41,I14*Engagement_Register!$N$12*Assumptions!I$195)</f>
        <v>1941</v>
      </c>
      <c r="J126" s="62" t="n">
        <f aca="false">IF(J$5="A",Inputs_Actuals!J41,J14*Engagement_Register!$N$12*Assumptions!J$195)</f>
        <v>2259.2</v>
      </c>
      <c r="K126" s="62" t="n">
        <f aca="false">IF(K$5="A",Inputs_Actuals!K41,K14*Engagement_Register!$N$12*Assumptions!K$195)</f>
        <v>0</v>
      </c>
      <c r="L126" s="62" t="n">
        <f aca="false">IF(L$5="A",Inputs_Actuals!L41,L14*Engagement_Register!$N$12*Assumptions!L$195)</f>
        <v>0</v>
      </c>
      <c r="M126" s="62" t="n">
        <f aca="false">IF(M$5="A",Inputs_Actuals!M41,M14*Engagement_Register!$N$12*Assumptions!M$195)</f>
        <v>0</v>
      </c>
      <c r="N126" s="62" t="n">
        <f aca="false">IF(N$5="A",Inputs_Actuals!N41,N14*Engagement_Register!$N$12*Assumptions!N$195)</f>
        <v>0</v>
      </c>
      <c r="O126" s="62" t="n">
        <f aca="false">IF(O$5="A",Inputs_Actuals!O41,O14*Engagement_Register!$N$12*Assumptions!O$195)</f>
        <v>0</v>
      </c>
      <c r="P126" s="62" t="n">
        <f aca="false">IF(P$5="A",Inputs_Actuals!P41,P14*Engagement_Register!$N$12*Assumptions!P$195)</f>
        <v>0</v>
      </c>
      <c r="Q126" s="62" t="n">
        <f aca="false">IF(Q$5="A",Inputs_Actuals!Q41,Q14*Engagement_Register!$N$12*Assumptions!Q$195)</f>
        <v>0</v>
      </c>
      <c r="R126" s="62" t="n">
        <f aca="false">IF(R$5="A",Inputs_Actuals!R41,R14*Engagement_Register!$N$12*Assumptions!R$195)</f>
        <v>0</v>
      </c>
      <c r="S126" s="62" t="n">
        <f aca="false">IF(S$5="A",Inputs_Actuals!S41,S14*Engagement_Register!$N$12*Assumptions!S$195)</f>
        <v>0</v>
      </c>
      <c r="T126" s="62" t="n">
        <f aca="false">IF(T$5="A",Inputs_Actuals!T41,T14*Engagement_Register!$N$12*Assumptions!T$195)</f>
        <v>0</v>
      </c>
      <c r="U126" s="62" t="n">
        <f aca="false">IF(U$5="A",Inputs_Actuals!U41,U14*Engagement_Register!$N$12*Assumptions!U$195)</f>
        <v>0</v>
      </c>
      <c r="V126" s="62" t="n">
        <f aca="false">IF(V$5="A",Inputs_Actuals!V41,V14*Engagement_Register!$N$12*Assumptions!V$195)</f>
        <v>0</v>
      </c>
      <c r="W126" s="62" t="n">
        <f aca="false">IF(W$5="A",Inputs_Actuals!W41,W14*Engagement_Register!$N$12*Assumptions!W$195)</f>
        <v>0</v>
      </c>
      <c r="X126" s="62" t="n">
        <f aca="false">IF(X$5="A",Inputs_Actuals!X41,X14*Engagement_Register!$N$12*Assumptions!X$195)</f>
        <v>0</v>
      </c>
      <c r="Y126" s="62" t="n">
        <f aca="false">IF(Y$5="A",Inputs_Actuals!Y41,Y14*Engagement_Register!$N$12*Assumptions!Y$195)</f>
        <v>0</v>
      </c>
      <c r="Z126" s="62" t="n">
        <f aca="false">IF(Z$5="A",Inputs_Actuals!Z41,Z14*Engagement_Register!$N$12*Assumptions!Z$195)</f>
        <v>0</v>
      </c>
      <c r="AA126" s="62" t="n">
        <f aca="false">IF(AA$5="A",Inputs_Actuals!AA41,AA14*Engagement_Register!$N$12*Assumptions!AA$195)</f>
        <v>0</v>
      </c>
      <c r="AB126" s="62" t="n">
        <f aca="false">IF(AB$5="A",Inputs_Actuals!AB41,AB14*Engagement_Register!$N$12*Assumptions!AB$195)</f>
        <v>0</v>
      </c>
    </row>
    <row r="127" customFormat="false" ht="15" hidden="false" customHeight="false" outlineLevel="0" collapsed="false">
      <c r="A127" s="29" t="s">
        <v>843</v>
      </c>
      <c r="B127" s="60" t="s">
        <v>844</v>
      </c>
      <c r="C127" s="61" t="n">
        <f aca="false">SUM(E127:P127)</f>
        <v>14576.77</v>
      </c>
      <c r="D127" s="61" t="n">
        <f aca="false">SUM(Q127:AB127)</f>
        <v>0</v>
      </c>
      <c r="E127" s="71" t="n">
        <f aca="false">E126</f>
        <v>2151.07</v>
      </c>
      <c r="F127" s="71" t="n">
        <f aca="false">F126</f>
        <v>2327.79</v>
      </c>
      <c r="G127" s="71" t="n">
        <f aca="false">G126</f>
        <v>2813.79</v>
      </c>
      <c r="H127" s="71" t="n">
        <f aca="false">H126</f>
        <v>3083.92</v>
      </c>
      <c r="I127" s="71" t="n">
        <f aca="false">I126</f>
        <v>1941</v>
      </c>
      <c r="J127" s="71" t="n">
        <f aca="false">J126</f>
        <v>2259.2</v>
      </c>
      <c r="K127" s="71" t="n">
        <f aca="false">K126</f>
        <v>0</v>
      </c>
      <c r="L127" s="71" t="n">
        <f aca="false">L126</f>
        <v>0</v>
      </c>
      <c r="M127" s="71" t="n">
        <f aca="false">M126</f>
        <v>0</v>
      </c>
      <c r="N127" s="71" t="n">
        <f aca="false">N126</f>
        <v>0</v>
      </c>
      <c r="O127" s="71" t="n">
        <f aca="false">O126</f>
        <v>0</v>
      </c>
      <c r="P127" s="71" t="n">
        <f aca="false">P126</f>
        <v>0</v>
      </c>
      <c r="Q127" s="71" t="n">
        <f aca="false">Q126</f>
        <v>0</v>
      </c>
      <c r="R127" s="71" t="n">
        <f aca="false">R126</f>
        <v>0</v>
      </c>
      <c r="S127" s="71" t="n">
        <f aca="false">S126</f>
        <v>0</v>
      </c>
      <c r="T127" s="71" t="n">
        <f aca="false">T126</f>
        <v>0</v>
      </c>
      <c r="U127" s="71" t="n">
        <f aca="false">U126</f>
        <v>0</v>
      </c>
      <c r="V127" s="71" t="n">
        <f aca="false">V126</f>
        <v>0</v>
      </c>
      <c r="W127" s="71" t="n">
        <f aca="false">W126</f>
        <v>0</v>
      </c>
      <c r="X127" s="71" t="n">
        <f aca="false">X126</f>
        <v>0</v>
      </c>
      <c r="Y127" s="71" t="n">
        <f aca="false">Y126</f>
        <v>0</v>
      </c>
      <c r="Z127" s="71" t="n">
        <f aca="false">Z126</f>
        <v>0</v>
      </c>
      <c r="AA127" s="71" t="n">
        <f aca="false">AA126</f>
        <v>0</v>
      </c>
      <c r="AB127" s="71" t="n">
        <f aca="false">AB126</f>
        <v>0</v>
      </c>
    </row>
    <row r="128" customFormat="false" ht="15" hidden="false" customHeight="false" outlineLevel="0" collapsed="false">
      <c r="A128" s="29" t="s">
        <v>845</v>
      </c>
      <c r="B128" s="60" t="s">
        <v>846</v>
      </c>
      <c r="C128" s="61" t="n">
        <f aca="false">SUM(E128:P128)</f>
        <v>16976.17</v>
      </c>
      <c r="D128" s="61" t="n">
        <f aca="false">SUM(Q128:AB128)</f>
        <v>0</v>
      </c>
      <c r="E128" s="62" t="n">
        <f aca="false">IF(E$5="A",Inputs_Actuals!E42,0)</f>
        <v>2399.4</v>
      </c>
      <c r="F128" s="62" t="n">
        <f aca="false">IF(F$5="A",Inputs_Actuals!F42,E127)</f>
        <v>2151.07</v>
      </c>
      <c r="G128" s="62" t="n">
        <f aca="false">IF(G$5="A",Inputs_Actuals!G42,F127)</f>
        <v>2327.79</v>
      </c>
      <c r="H128" s="62" t="n">
        <f aca="false">IF(H$5="A",Inputs_Actuals!H42,G127)</f>
        <v>2813.79</v>
      </c>
      <c r="I128" s="62" t="n">
        <f aca="false">IF(I$5="A",Inputs_Actuals!I42,H127)</f>
        <v>3083.92</v>
      </c>
      <c r="J128" s="62" t="n">
        <f aca="false">IF(J$5="A",Inputs_Actuals!J42,I127)</f>
        <v>1941</v>
      </c>
      <c r="K128" s="62" t="n">
        <f aca="false">IF(K$5="A",Inputs_Actuals!K42,J127)</f>
        <v>2259.2</v>
      </c>
      <c r="L128" s="62" t="n">
        <f aca="false">IF(L$5="A",Inputs_Actuals!L42,K127)</f>
        <v>0</v>
      </c>
      <c r="M128" s="62" t="n">
        <f aca="false">IF(M$5="A",Inputs_Actuals!M42,L127)</f>
        <v>0</v>
      </c>
      <c r="N128" s="62" t="n">
        <f aca="false">IF(N$5="A",Inputs_Actuals!N42,M127)</f>
        <v>0</v>
      </c>
      <c r="O128" s="62" t="n">
        <f aca="false">IF(O$5="A",Inputs_Actuals!O42,N127)</f>
        <v>0</v>
      </c>
      <c r="P128" s="62" t="n">
        <f aca="false">IF(P$5="A",Inputs_Actuals!P42,O127)</f>
        <v>0</v>
      </c>
      <c r="Q128" s="62" t="n">
        <f aca="false">IF(Q$5="A",Inputs_Actuals!Q42,P127)</f>
        <v>0</v>
      </c>
      <c r="R128" s="62" t="n">
        <f aca="false">IF(R$5="A",Inputs_Actuals!R42,Q127)</f>
        <v>0</v>
      </c>
      <c r="S128" s="62" t="n">
        <f aca="false">IF(S$5="A",Inputs_Actuals!S42,R127)</f>
        <v>0</v>
      </c>
      <c r="T128" s="62" t="n">
        <f aca="false">IF(T$5="A",Inputs_Actuals!T42,S127)</f>
        <v>0</v>
      </c>
      <c r="U128" s="62" t="n">
        <f aca="false">IF(U$5="A",Inputs_Actuals!U42,T127)</f>
        <v>0</v>
      </c>
      <c r="V128" s="62" t="n">
        <f aca="false">IF(V$5="A",Inputs_Actuals!V42,U127)</f>
        <v>0</v>
      </c>
      <c r="W128" s="62" t="n">
        <f aca="false">IF(W$5="A",Inputs_Actuals!W42,V127)</f>
        <v>0</v>
      </c>
      <c r="X128" s="62" t="n">
        <f aca="false">IF(X$5="A",Inputs_Actuals!X42,W127)</f>
        <v>0</v>
      </c>
      <c r="Y128" s="62" t="n">
        <f aca="false">IF(Y$5="A",Inputs_Actuals!Y42,X127)</f>
        <v>0</v>
      </c>
      <c r="Z128" s="62" t="n">
        <f aca="false">IF(Z$5="A",Inputs_Actuals!Z42,Y127)</f>
        <v>0</v>
      </c>
      <c r="AA128" s="62" t="n">
        <f aca="false">IF(AA$5="A",Inputs_Actuals!AA42,Z127)</f>
        <v>0</v>
      </c>
      <c r="AB128" s="62" t="n">
        <f aca="false">IF(AB$5="A",Inputs_Actuals!AB42,AA127)</f>
        <v>0</v>
      </c>
    </row>
    <row r="129" customFormat="false" ht="15" hidden="false" customHeight="false" outlineLevel="0" collapsed="false">
      <c r="A129" s="29" t="s">
        <v>847</v>
      </c>
      <c r="B129" s="60" t="s">
        <v>848</v>
      </c>
      <c r="C129" s="61" t="n">
        <f aca="false">P129</f>
        <v>0</v>
      </c>
      <c r="D129" s="61" t="n">
        <f aca="false">AB129</f>
        <v>0</v>
      </c>
      <c r="E129" s="62" t="n">
        <f aca="false">Engagement_Register!$X$12+E123+E127-E128-E124</f>
        <v>34027.82</v>
      </c>
      <c r="F129" s="71" t="n">
        <f aca="false">E129+F123+F127-F128-F124</f>
        <v>34397.84</v>
      </c>
      <c r="G129" s="71" t="n">
        <f aca="false">F129+G123+G127-G128-G124</f>
        <v>36473.2</v>
      </c>
      <c r="H129" s="71" t="n">
        <f aca="false">G129+H123+H127-H128-H124</f>
        <v>34945.2</v>
      </c>
      <c r="I129" s="71" t="n">
        <f aca="false">H129+I123+I127-I128-I124</f>
        <v>28284.91</v>
      </c>
      <c r="J129" s="71" t="n">
        <f aca="false">I129+J123+J127-J128-J124</f>
        <v>34268.16</v>
      </c>
      <c r="K129" s="71" t="n">
        <f aca="false">J129+K123+K127-K128-K124</f>
        <v>0</v>
      </c>
      <c r="L129" s="71" t="n">
        <f aca="false">K129+L123+L127-L128-L124</f>
        <v>0</v>
      </c>
      <c r="M129" s="71" t="n">
        <f aca="false">L129+M123+M127-M128-M124</f>
        <v>0</v>
      </c>
      <c r="N129" s="71" t="n">
        <f aca="false">M129+N123+N127-N128-N124</f>
        <v>0</v>
      </c>
      <c r="O129" s="71" t="n">
        <f aca="false">N129+O123+O127-O128-O124</f>
        <v>0</v>
      </c>
      <c r="P129" s="71" t="n">
        <f aca="false">O129+P123+P127-P128-P124</f>
        <v>0</v>
      </c>
      <c r="Q129" s="71" t="n">
        <f aca="false">P129+Q123+Q127-Q128-Q124</f>
        <v>0</v>
      </c>
      <c r="R129" s="71" t="n">
        <f aca="false">Q129+R123+R127-R128-R124</f>
        <v>0</v>
      </c>
      <c r="S129" s="71" t="n">
        <f aca="false">R129+S123+S127-S128-S124</f>
        <v>0</v>
      </c>
      <c r="T129" s="71" t="n">
        <f aca="false">S129+T123+T127-T128-T124</f>
        <v>0</v>
      </c>
      <c r="U129" s="71" t="n">
        <f aca="false">T129+U123+U127-U128-U124</f>
        <v>0</v>
      </c>
      <c r="V129" s="71" t="n">
        <f aca="false">U129+V123+V127-V128-V124</f>
        <v>0</v>
      </c>
      <c r="W129" s="71" t="n">
        <f aca="false">V129+W123+W127-W128-W124</f>
        <v>0</v>
      </c>
      <c r="X129" s="71" t="n">
        <f aca="false">W129+X123+X127-X128-X124</f>
        <v>0</v>
      </c>
      <c r="Y129" s="71" t="n">
        <f aca="false">X129+Y123+Y127-Y128-Y124</f>
        <v>0</v>
      </c>
      <c r="Z129" s="71" t="n">
        <f aca="false">Y129+Z123+Z127-Z128-Z124</f>
        <v>0</v>
      </c>
      <c r="AA129" s="71" t="n">
        <f aca="false">Z129+AA123+AA127-AA128-AA124</f>
        <v>0</v>
      </c>
      <c r="AB129" s="71" t="n">
        <f aca="false">AA129+AB123+AB127-AB128-AB124</f>
        <v>0</v>
      </c>
    </row>
    <row r="130" customFormat="false" ht="15" hidden="false" customHeight="false" outlineLevel="0" collapsed="false">
      <c r="A130" s="29" t="s">
        <v>849</v>
      </c>
      <c r="B130" s="60" t="s">
        <v>850</v>
      </c>
      <c r="C130" s="61" t="n">
        <f aca="false">P130</f>
        <v>0</v>
      </c>
      <c r="D130" s="61" t="n">
        <f aca="false">AB130</f>
        <v>0</v>
      </c>
      <c r="E130" s="62" t="n">
        <f aca="false">MAX(0,Engagement_Register!$AM$12-E120)*Engagement_Register!$AE$12*Assumptions!E$194*(1-Engagement_Register!$AS$12)</f>
        <v>156525.880012577</v>
      </c>
      <c r="F130" s="62" t="n">
        <f aca="false">MAX(0,Engagement_Register!$AM$12-F120)*Engagement_Register!$AE$12*Assumptions!F$194*(1-Engagement_Register!$AS$12)</f>
        <v>126458.329130427</v>
      </c>
      <c r="G130" s="62" t="n">
        <f aca="false">MAX(0,Engagement_Register!$AM$12-G120)*Engagement_Register!$AE$12*Assumptions!G$194*(1-Engagement_Register!$AS$12)</f>
        <v>95885.3125431777</v>
      </c>
      <c r="H130" s="62" t="n">
        <f aca="false">MAX(0,Engagement_Register!$AM$12-H120)*Engagement_Register!$AE$12*Assumptions!H$194*(1-Engagement_Register!$AS$12)</f>
        <v>67242.2559208546</v>
      </c>
      <c r="I130" s="62" t="n">
        <f aca="false">MAX(0,Engagement_Register!$AM$12-I120)*Engagement_Register!$AE$12*Assumptions!I$194*(1-Engagement_Register!$AS$12)</f>
        <v>43255.6106424815</v>
      </c>
      <c r="J130" s="62" t="n">
        <f aca="false">MAX(0,Engagement_Register!$AM$12-J120)*Engagement_Register!$AE$12*Assumptions!J$194*(1-Engagement_Register!$AS$12)</f>
        <v>13096.1569048589</v>
      </c>
      <c r="K130" s="62" t="n">
        <f aca="false">MAX(0,Engagement_Register!$AM$12-K120)*Engagement_Register!$AE$12*Assumptions!K$194*(1-Engagement_Register!$AS$12)</f>
        <v>0</v>
      </c>
      <c r="L130" s="62" t="n">
        <f aca="false">MAX(0,Engagement_Register!$AM$12-L120)*Engagement_Register!$AE$12*Assumptions!L$194*(1-Engagement_Register!$AS$12)</f>
        <v>0</v>
      </c>
      <c r="M130" s="62" t="n">
        <f aca="false">MAX(0,Engagement_Register!$AM$12-M120)*Engagement_Register!$AE$12*Assumptions!M$194*(1-Engagement_Register!$AS$12)</f>
        <v>0</v>
      </c>
      <c r="N130" s="62" t="n">
        <f aca="false">MAX(0,Engagement_Register!$AM$12-N120)*Engagement_Register!$AE$12*Assumptions!N$194*(1-Engagement_Register!$AS$12)</f>
        <v>0</v>
      </c>
      <c r="O130" s="62" t="n">
        <f aca="false">MAX(0,Engagement_Register!$AM$12-O120)*Engagement_Register!$AE$12*Assumptions!O$194*(1-Engagement_Register!$AS$12)</f>
        <v>0</v>
      </c>
      <c r="P130" s="62" t="n">
        <f aca="false">MAX(0,Engagement_Register!$AM$12-P120)*Engagement_Register!$AE$12*Assumptions!P$194*(1-Engagement_Register!$AS$12)</f>
        <v>0</v>
      </c>
      <c r="Q130" s="62" t="n">
        <f aca="false">MAX(0,Engagement_Register!$AM$12-Q120)*Engagement_Register!$AE$12*Assumptions!Q$194*(1-Engagement_Register!$AS$12)</f>
        <v>0</v>
      </c>
      <c r="R130" s="62" t="n">
        <f aca="false">MAX(0,Engagement_Register!$AM$12-R120)*Engagement_Register!$AE$12*Assumptions!R$194*(1-Engagement_Register!$AS$12)</f>
        <v>0</v>
      </c>
      <c r="S130" s="62" t="n">
        <f aca="false">MAX(0,Engagement_Register!$AM$12-S120)*Engagement_Register!$AE$12*Assumptions!S$194*(1-Engagement_Register!$AS$12)</f>
        <v>0</v>
      </c>
      <c r="T130" s="62" t="n">
        <f aca="false">MAX(0,Engagement_Register!$AM$12-T120)*Engagement_Register!$AE$12*Assumptions!T$194*(1-Engagement_Register!$AS$12)</f>
        <v>0</v>
      </c>
      <c r="U130" s="62" t="n">
        <f aca="false">MAX(0,Engagement_Register!$AM$12-U120)*Engagement_Register!$AE$12*Assumptions!U$194*(1-Engagement_Register!$AS$12)</f>
        <v>0</v>
      </c>
      <c r="V130" s="62" t="n">
        <f aca="false">MAX(0,Engagement_Register!$AM$12-V120)*Engagement_Register!$AE$12*Assumptions!V$194*(1-Engagement_Register!$AS$12)</f>
        <v>0</v>
      </c>
      <c r="W130" s="62" t="n">
        <f aca="false">MAX(0,Engagement_Register!$AM$12-W120)*Engagement_Register!$AE$12*Assumptions!W$194*(1-Engagement_Register!$AS$12)</f>
        <v>0</v>
      </c>
      <c r="X130" s="62" t="n">
        <f aca="false">MAX(0,Engagement_Register!$AM$12-X120)*Engagement_Register!$AE$12*Assumptions!X$194*(1-Engagement_Register!$AS$12)</f>
        <v>0</v>
      </c>
      <c r="Y130" s="62" t="n">
        <f aca="false">MAX(0,Engagement_Register!$AM$12-Y120)*Engagement_Register!$AE$12*Assumptions!Y$194*(1-Engagement_Register!$AS$12)</f>
        <v>0</v>
      </c>
      <c r="Z130" s="62" t="n">
        <f aca="false">MAX(0,Engagement_Register!$AM$12-Z120)*Engagement_Register!$AE$12*Assumptions!Z$194*(1-Engagement_Register!$AS$12)</f>
        <v>0</v>
      </c>
      <c r="AA130" s="62" t="n">
        <f aca="false">MAX(0,Engagement_Register!$AM$12-AA120)*Engagement_Register!$AE$12*Assumptions!AA$194*(1-Engagement_Register!$AS$12)</f>
        <v>0</v>
      </c>
      <c r="AB130" s="62" t="n">
        <f aca="false">MAX(0,Engagement_Register!$AM$12-AB120)*Engagement_Register!$AE$12*Assumptions!AB$194*(1-Engagement_Register!$AS$12)</f>
        <v>0</v>
      </c>
    </row>
    <row r="132" customFormat="false" ht="15" hidden="false" customHeight="false" outlineLevel="0" collapsed="false">
      <c r="A132" s="23" t="s">
        <v>872</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row>
    <row r="133" customFormat="false" ht="15" hidden="false" customHeight="false" outlineLevel="0" collapsed="false">
      <c r="A133" s="29" t="s">
        <v>736</v>
      </c>
      <c r="B133" s="60" t="s">
        <v>832</v>
      </c>
      <c r="C133" s="66" t="n">
        <f aca="false">P133</f>
        <v>1450</v>
      </c>
      <c r="D133" s="66" t="n">
        <f aca="false">AB133</f>
        <v>1450</v>
      </c>
      <c r="E133" s="67" t="n">
        <f aca="false">Engagement_Register!$T$13+E15</f>
        <v>220</v>
      </c>
      <c r="F133" s="72" t="n">
        <f aca="false">E133+F15</f>
        <v>444</v>
      </c>
      <c r="G133" s="72" t="n">
        <f aca="false">F133+G15</f>
        <v>688.4</v>
      </c>
      <c r="H133" s="72" t="n">
        <f aca="false">G133+H15</f>
        <v>937.8</v>
      </c>
      <c r="I133" s="72" t="n">
        <f aca="false">H133+I15</f>
        <v>1147.2</v>
      </c>
      <c r="J133" s="72" t="n">
        <f aca="false">I133+J15</f>
        <v>1450</v>
      </c>
      <c r="K133" s="72" t="n">
        <f aca="false">J133+K15</f>
        <v>1450</v>
      </c>
      <c r="L133" s="72" t="n">
        <f aca="false">K133+L15</f>
        <v>1450</v>
      </c>
      <c r="M133" s="72" t="n">
        <f aca="false">L133+M15</f>
        <v>1450</v>
      </c>
      <c r="N133" s="72" t="n">
        <f aca="false">M133+N15</f>
        <v>1450</v>
      </c>
      <c r="O133" s="72" t="n">
        <f aca="false">N133+O15</f>
        <v>1450</v>
      </c>
      <c r="P133" s="72" t="n">
        <f aca="false">O133+P15</f>
        <v>1450</v>
      </c>
      <c r="Q133" s="72" t="n">
        <f aca="false">P133+Q15</f>
        <v>1450</v>
      </c>
      <c r="R133" s="72" t="n">
        <f aca="false">Q133+R15</f>
        <v>1450</v>
      </c>
      <c r="S133" s="72" t="n">
        <f aca="false">R133+S15</f>
        <v>1450</v>
      </c>
      <c r="T133" s="72" t="n">
        <f aca="false">S133+T15</f>
        <v>1450</v>
      </c>
      <c r="U133" s="72" t="n">
        <f aca="false">T133+U15</f>
        <v>1450</v>
      </c>
      <c r="V133" s="72" t="n">
        <f aca="false">U133+V15</f>
        <v>1450</v>
      </c>
      <c r="W133" s="72" t="n">
        <f aca="false">V133+W15</f>
        <v>1450</v>
      </c>
      <c r="X133" s="72" t="n">
        <f aca="false">W133+X15</f>
        <v>1450</v>
      </c>
      <c r="Y133" s="72" t="n">
        <f aca="false">X133+Y15</f>
        <v>1450</v>
      </c>
      <c r="Z133" s="72" t="n">
        <f aca="false">Y133+Z15</f>
        <v>1450</v>
      </c>
      <c r="AA133" s="72" t="n">
        <f aca="false">Z133+AA15</f>
        <v>1450</v>
      </c>
      <c r="AB133" s="72" t="n">
        <f aca="false">AA133+AB15</f>
        <v>1450</v>
      </c>
    </row>
    <row r="134" customFormat="false" ht="15" hidden="false" customHeight="false" outlineLevel="0" collapsed="false">
      <c r="A134" s="29" t="s">
        <v>852</v>
      </c>
      <c r="B134" s="60" t="s">
        <v>853</v>
      </c>
      <c r="C134" s="66" t="n">
        <f aca="false">P134</f>
        <v>1450</v>
      </c>
      <c r="D134" s="66" t="n">
        <f aca="false">AB134</f>
        <v>1450</v>
      </c>
      <c r="E134" s="67" t="n">
        <f aca="false">IF(E$5="A",IF(E133+N(Inputs_Actuals!E44)&lt;=0,Engagement_Register!$AM$13,E133+N(Inputs_Actuals!E44)),Engagement_Register!$AM$13)</f>
        <v>1300</v>
      </c>
      <c r="F134" s="67" t="n">
        <f aca="false">IF(F$5="A",IF(F133+N(Inputs_Actuals!F44)&lt;=0,Engagement_Register!$AM$13,F133+N(Inputs_Actuals!F44)),Engagement_Register!$AM$13)</f>
        <v>1300</v>
      </c>
      <c r="G134" s="67" t="n">
        <f aca="false">IF(G$5="A",IF(G133+N(Inputs_Actuals!G44)&lt;=0,Engagement_Register!$AM$13,G133+N(Inputs_Actuals!G44)),Engagement_Register!$AM$13)</f>
        <v>1380</v>
      </c>
      <c r="H134" s="67" t="n">
        <f aca="false">IF(H$5="A",IF(H133+N(Inputs_Actuals!H44)&lt;=0,Engagement_Register!$AM$13,H133+N(Inputs_Actuals!H44)),Engagement_Register!$AM$13)</f>
        <v>1450</v>
      </c>
      <c r="I134" s="67" t="n">
        <f aca="false">IF(I$5="A",IF(I133+N(Inputs_Actuals!I44)&lt;=0,Engagement_Register!$AM$13,I133+N(Inputs_Actuals!I44)),Engagement_Register!$AM$13)</f>
        <v>1450</v>
      </c>
      <c r="J134" s="67" t="n">
        <f aca="false">IF(J$5="A",IF(J133+N(Inputs_Actuals!J44)&lt;=0,Engagement_Register!$AM$13,J133+N(Inputs_Actuals!J44)),Engagement_Register!$AM$13)</f>
        <v>1450</v>
      </c>
      <c r="K134" s="67" t="n">
        <f aca="false">IF(K$5="A",IF(K133+N(Inputs_Actuals!K44)&lt;=0,Engagement_Register!$AM$13,K133+N(Inputs_Actuals!K44)),Engagement_Register!$AM$13)</f>
        <v>1450</v>
      </c>
      <c r="L134" s="67" t="n">
        <f aca="false">IF(L$5="A",IF(L133+N(Inputs_Actuals!L44)&lt;=0,Engagement_Register!$AM$13,L133+N(Inputs_Actuals!L44)),Engagement_Register!$AM$13)</f>
        <v>1450</v>
      </c>
      <c r="M134" s="67" t="n">
        <f aca="false">IF(M$5="A",IF(M133+N(Inputs_Actuals!M44)&lt;=0,Engagement_Register!$AM$13,M133+N(Inputs_Actuals!M44)),Engagement_Register!$AM$13)</f>
        <v>1450</v>
      </c>
      <c r="N134" s="67" t="n">
        <f aca="false">IF(N$5="A",IF(N133+N(Inputs_Actuals!N44)&lt;=0,Engagement_Register!$AM$13,N133+N(Inputs_Actuals!N44)),Engagement_Register!$AM$13)</f>
        <v>1450</v>
      </c>
      <c r="O134" s="67" t="n">
        <f aca="false">IF(O$5="A",IF(O133+N(Inputs_Actuals!O44)&lt;=0,Engagement_Register!$AM$13,O133+N(Inputs_Actuals!O44)),Engagement_Register!$AM$13)</f>
        <v>1450</v>
      </c>
      <c r="P134" s="67" t="n">
        <f aca="false">IF(P$5="A",IF(P133+N(Inputs_Actuals!P44)&lt;=0,Engagement_Register!$AM$13,P133+N(Inputs_Actuals!P44)),Engagement_Register!$AM$13)</f>
        <v>1450</v>
      </c>
      <c r="Q134" s="67" t="n">
        <f aca="false">IF(Q$5="A",IF(Q133+N(Inputs_Actuals!Q44)&lt;=0,Engagement_Register!$AM$13,Q133+N(Inputs_Actuals!Q44)),Engagement_Register!$AM$13)</f>
        <v>1450</v>
      </c>
      <c r="R134" s="67" t="n">
        <f aca="false">IF(R$5="A",IF(R133+N(Inputs_Actuals!R44)&lt;=0,Engagement_Register!$AM$13,R133+N(Inputs_Actuals!R44)),Engagement_Register!$AM$13)</f>
        <v>1450</v>
      </c>
      <c r="S134" s="67" t="n">
        <f aca="false">IF(S$5="A",IF(S133+N(Inputs_Actuals!S44)&lt;=0,Engagement_Register!$AM$13,S133+N(Inputs_Actuals!S44)),Engagement_Register!$AM$13)</f>
        <v>1450</v>
      </c>
      <c r="T134" s="67" t="n">
        <f aca="false">IF(T$5="A",IF(T133+N(Inputs_Actuals!T44)&lt;=0,Engagement_Register!$AM$13,T133+N(Inputs_Actuals!T44)),Engagement_Register!$AM$13)</f>
        <v>1450</v>
      </c>
      <c r="U134" s="67" t="n">
        <f aca="false">IF(U$5="A",IF(U133+N(Inputs_Actuals!U44)&lt;=0,Engagement_Register!$AM$13,U133+N(Inputs_Actuals!U44)),Engagement_Register!$AM$13)</f>
        <v>1450</v>
      </c>
      <c r="V134" s="67" t="n">
        <f aca="false">IF(V$5="A",IF(V133+N(Inputs_Actuals!V44)&lt;=0,Engagement_Register!$AM$13,V133+N(Inputs_Actuals!V44)),Engagement_Register!$AM$13)</f>
        <v>1450</v>
      </c>
      <c r="W134" s="67" t="n">
        <f aca="false">IF(W$5="A",IF(W133+N(Inputs_Actuals!W44)&lt;=0,Engagement_Register!$AM$13,W133+N(Inputs_Actuals!W44)),Engagement_Register!$AM$13)</f>
        <v>1450</v>
      </c>
      <c r="X134" s="67" t="n">
        <f aca="false">IF(X$5="A",IF(X133+N(Inputs_Actuals!X44)&lt;=0,Engagement_Register!$AM$13,X133+N(Inputs_Actuals!X44)),Engagement_Register!$AM$13)</f>
        <v>1450</v>
      </c>
      <c r="Y134" s="67" t="n">
        <f aca="false">IF(Y$5="A",IF(Y133+N(Inputs_Actuals!Y44)&lt;=0,Engagement_Register!$AM$13,Y133+N(Inputs_Actuals!Y44)),Engagement_Register!$AM$13)</f>
        <v>1450</v>
      </c>
      <c r="Z134" s="67" t="n">
        <f aca="false">IF(Z$5="A",IF(Z133+N(Inputs_Actuals!Z44)&lt;=0,Engagement_Register!$AM$13,Z133+N(Inputs_Actuals!Z44)),Engagement_Register!$AM$13)</f>
        <v>1450</v>
      </c>
      <c r="AA134" s="67" t="n">
        <f aca="false">IF(AA$5="A",IF(AA133+N(Inputs_Actuals!AA44)&lt;=0,Engagement_Register!$AM$13,AA133+N(Inputs_Actuals!AA44)),Engagement_Register!$AM$13)</f>
        <v>1450</v>
      </c>
      <c r="AB134" s="67" t="n">
        <f aca="false">IF(AB$5="A",IF(AB133+N(Inputs_Actuals!AB44)&lt;=0,Engagement_Register!$AM$13,AB133+N(Inputs_Actuals!AB44)),Engagement_Register!$AM$13)</f>
        <v>1450</v>
      </c>
    </row>
    <row r="135" customFormat="false" ht="15" hidden="false" customHeight="false" outlineLevel="0" collapsed="false">
      <c r="A135" s="29" t="s">
        <v>854</v>
      </c>
      <c r="B135" s="60" t="s">
        <v>855</v>
      </c>
      <c r="C135" s="63" t="n">
        <f aca="false">P135</f>
        <v>1</v>
      </c>
      <c r="D135" s="63" t="n">
        <f aca="false">AB135</f>
        <v>1</v>
      </c>
      <c r="E135" s="64" t="n">
        <f aca="false">IF(E134&lt;=0,0,MIN(1,E133/E134))</f>
        <v>0.169230769230769</v>
      </c>
      <c r="F135" s="64" t="n">
        <f aca="false">IF(F134&lt;=0,0,MIN(1,F133/F134))</f>
        <v>0.341538461538462</v>
      </c>
      <c r="G135" s="64" t="n">
        <f aca="false">IF(G134&lt;=0,0,MIN(1,G133/G134))</f>
        <v>0.498840579710145</v>
      </c>
      <c r="H135" s="64" t="n">
        <f aca="false">IF(H134&lt;=0,0,MIN(1,H133/H134))</f>
        <v>0.646758620689655</v>
      </c>
      <c r="I135" s="64" t="n">
        <f aca="false">IF(I134&lt;=0,0,MIN(1,I133/I134))</f>
        <v>0.791172413793103</v>
      </c>
      <c r="J135" s="64" t="n">
        <f aca="false">IF(J134&lt;=0,0,MIN(1,J133/J134))</f>
        <v>1</v>
      </c>
      <c r="K135" s="64" t="n">
        <f aca="false">IF(K134&lt;=0,0,MIN(1,K133/K134))</f>
        <v>1</v>
      </c>
      <c r="L135" s="64" t="n">
        <f aca="false">IF(L134&lt;=0,0,MIN(1,L133/L134))</f>
        <v>1</v>
      </c>
      <c r="M135" s="64" t="n">
        <f aca="false">IF(M134&lt;=0,0,MIN(1,M133/M134))</f>
        <v>1</v>
      </c>
      <c r="N135" s="64" t="n">
        <f aca="false">IF(N134&lt;=0,0,MIN(1,N133/N134))</f>
        <v>1</v>
      </c>
      <c r="O135" s="64" t="n">
        <f aca="false">IF(O134&lt;=0,0,MIN(1,O133/O134))</f>
        <v>1</v>
      </c>
      <c r="P135" s="64" t="n">
        <f aca="false">IF(P134&lt;=0,0,MIN(1,P133/P134))</f>
        <v>1</v>
      </c>
      <c r="Q135" s="64" t="n">
        <f aca="false">IF(Q134&lt;=0,0,MIN(1,Q133/Q134))</f>
        <v>1</v>
      </c>
      <c r="R135" s="64" t="n">
        <f aca="false">IF(R134&lt;=0,0,MIN(1,R133/R134))</f>
        <v>1</v>
      </c>
      <c r="S135" s="64" t="n">
        <f aca="false">IF(S134&lt;=0,0,MIN(1,S133/S134))</f>
        <v>1</v>
      </c>
      <c r="T135" s="64" t="n">
        <f aca="false">IF(T134&lt;=0,0,MIN(1,T133/T134))</f>
        <v>1</v>
      </c>
      <c r="U135" s="64" t="n">
        <f aca="false">IF(U134&lt;=0,0,MIN(1,U133/U134))</f>
        <v>1</v>
      </c>
      <c r="V135" s="64" t="n">
        <f aca="false">IF(V134&lt;=0,0,MIN(1,V133/V134))</f>
        <v>1</v>
      </c>
      <c r="W135" s="64" t="n">
        <f aca="false">IF(W134&lt;=0,0,MIN(1,W133/W134))</f>
        <v>1</v>
      </c>
      <c r="X135" s="64" t="n">
        <f aca="false">IF(X134&lt;=0,0,MIN(1,X133/X134))</f>
        <v>1</v>
      </c>
      <c r="Y135" s="64" t="n">
        <f aca="false">IF(Y134&lt;=0,0,MIN(1,Y133/Y134))</f>
        <v>1</v>
      </c>
      <c r="Z135" s="64" t="n">
        <f aca="false">IF(Z134&lt;=0,0,MIN(1,Z133/Z134))</f>
        <v>1</v>
      </c>
      <c r="AA135" s="64" t="n">
        <f aca="false">IF(AA134&lt;=0,0,MIN(1,AA133/AA134))</f>
        <v>1</v>
      </c>
      <c r="AB135" s="64" t="n">
        <f aca="false">IF(AB134&lt;=0,0,MIN(1,AB133/AB134))</f>
        <v>1</v>
      </c>
    </row>
    <row r="136" customFormat="false" ht="15" hidden="false" customHeight="false" outlineLevel="0" collapsed="false">
      <c r="A136" s="29" t="s">
        <v>833</v>
      </c>
      <c r="B136" s="60" t="s">
        <v>834</v>
      </c>
      <c r="C136" s="61" t="n">
        <f aca="false">SUM(E136:P136)</f>
        <v>285215</v>
      </c>
      <c r="D136" s="61" t="n">
        <f aca="false">SUM(Q136:AB136)</f>
        <v>0</v>
      </c>
      <c r="E136" s="62" t="n">
        <f aca="false">E15*Engagement_Register!$AD$13*Assumptions!E$194</f>
        <v>43274</v>
      </c>
      <c r="F136" s="62" t="n">
        <f aca="false">F15*Engagement_Register!$AD$13*Assumptions!F$194</f>
        <v>44060.8</v>
      </c>
      <c r="G136" s="62" t="n">
        <f aca="false">G15*Engagement_Register!$AD$13*Assumptions!G$194</f>
        <v>48073.48</v>
      </c>
      <c r="H136" s="62" t="n">
        <f aca="false">H15*Engagement_Register!$AD$13*Assumptions!H$194</f>
        <v>49056.98</v>
      </c>
      <c r="I136" s="62" t="n">
        <f aca="false">I15*Engagement_Register!$AD$13*Assumptions!I$194</f>
        <v>41188.98</v>
      </c>
      <c r="J136" s="62" t="n">
        <f aca="false">J15*Engagement_Register!$AD$13*Assumptions!J$194</f>
        <v>59560.76</v>
      </c>
      <c r="K136" s="62" t="n">
        <f aca="false">K15*Engagement_Register!$AD$13*Assumptions!K$194</f>
        <v>0</v>
      </c>
      <c r="L136" s="62" t="n">
        <f aca="false">L15*Engagement_Register!$AD$13*Assumptions!L$194</f>
        <v>0</v>
      </c>
      <c r="M136" s="62" t="n">
        <f aca="false">M15*Engagement_Register!$AD$13*Assumptions!M$194</f>
        <v>0</v>
      </c>
      <c r="N136" s="62" t="n">
        <f aca="false">N15*Engagement_Register!$AD$13*Assumptions!N$194</f>
        <v>0</v>
      </c>
      <c r="O136" s="62" t="n">
        <f aca="false">O15*Engagement_Register!$AD$13*Assumptions!O$194</f>
        <v>0</v>
      </c>
      <c r="P136" s="62" t="n">
        <f aca="false">P15*Engagement_Register!$AD$13*Assumptions!P$194</f>
        <v>0</v>
      </c>
      <c r="Q136" s="62" t="n">
        <f aca="false">Q15*Engagement_Register!$AD$13*Assumptions!Q$194</f>
        <v>0</v>
      </c>
      <c r="R136" s="62" t="n">
        <f aca="false">R15*Engagement_Register!$AD$13*Assumptions!R$194</f>
        <v>0</v>
      </c>
      <c r="S136" s="62" t="n">
        <f aca="false">S15*Engagement_Register!$AD$13*Assumptions!S$194</f>
        <v>0</v>
      </c>
      <c r="T136" s="62" t="n">
        <f aca="false">T15*Engagement_Register!$AD$13*Assumptions!T$194</f>
        <v>0</v>
      </c>
      <c r="U136" s="62" t="n">
        <f aca="false">U15*Engagement_Register!$AD$13*Assumptions!U$194</f>
        <v>0</v>
      </c>
      <c r="V136" s="62" t="n">
        <f aca="false">V15*Engagement_Register!$AD$13*Assumptions!V$194</f>
        <v>0</v>
      </c>
      <c r="W136" s="62" t="n">
        <f aca="false">W15*Engagement_Register!$AD$13*Assumptions!W$194</f>
        <v>0</v>
      </c>
      <c r="X136" s="62" t="n">
        <f aca="false">X15*Engagement_Register!$AD$13*Assumptions!X$194</f>
        <v>0</v>
      </c>
      <c r="Y136" s="62" t="n">
        <f aca="false">Y15*Engagement_Register!$AD$13*Assumptions!Y$194</f>
        <v>0</v>
      </c>
      <c r="Z136" s="62" t="n">
        <f aca="false">Z15*Engagement_Register!$AD$13*Assumptions!Z$194</f>
        <v>0</v>
      </c>
      <c r="AA136" s="62" t="n">
        <f aca="false">AA15*Engagement_Register!$AD$13*Assumptions!AA$194</f>
        <v>0</v>
      </c>
      <c r="AB136" s="62" t="n">
        <f aca="false">AB15*Engagement_Register!$AD$13*Assumptions!AB$194</f>
        <v>0</v>
      </c>
    </row>
    <row r="137" customFormat="false" ht="15" hidden="false" customHeight="false" outlineLevel="0" collapsed="false">
      <c r="A137" s="29" t="s">
        <v>835</v>
      </c>
      <c r="B137" s="60" t="s">
        <v>865</v>
      </c>
      <c r="C137" s="61" t="n">
        <f aca="false">SUM(E137:P137)</f>
        <v>267692.307692308</v>
      </c>
      <c r="D137" s="61" t="n">
        <f aca="false">SUM(Q137:AB137)</f>
        <v>0</v>
      </c>
      <c r="E137" s="62" t="n">
        <f aca="false">E15*Engagement_Register!$AE$13</f>
        <v>40615.3846153846</v>
      </c>
      <c r="F137" s="62" t="n">
        <f aca="false">F15*Engagement_Register!$AE$13</f>
        <v>41353.8461538462</v>
      </c>
      <c r="G137" s="62" t="n">
        <f aca="false">G15*Engagement_Register!$AE$13</f>
        <v>45120</v>
      </c>
      <c r="H137" s="62" t="n">
        <f aca="false">H15*Engagement_Register!$AE$13</f>
        <v>46043.0769230769</v>
      </c>
      <c r="I137" s="62" t="n">
        <f aca="false">I15*Engagement_Register!$AE$13</f>
        <v>38658.4615384615</v>
      </c>
      <c r="J137" s="62" t="n">
        <f aca="false">J15*Engagement_Register!$AE$13</f>
        <v>55901.5384615385</v>
      </c>
      <c r="K137" s="62" t="n">
        <f aca="false">K15*Engagement_Register!$AE$13</f>
        <v>0</v>
      </c>
      <c r="L137" s="62" t="n">
        <f aca="false">L15*Engagement_Register!$AE$13</f>
        <v>0</v>
      </c>
      <c r="M137" s="62" t="n">
        <f aca="false">M15*Engagement_Register!$AE$13</f>
        <v>0</v>
      </c>
      <c r="N137" s="62" t="n">
        <f aca="false">N15*Engagement_Register!$AE$13</f>
        <v>0</v>
      </c>
      <c r="O137" s="62" t="n">
        <f aca="false">O15*Engagement_Register!$AE$13</f>
        <v>0</v>
      </c>
      <c r="P137" s="62" t="n">
        <f aca="false">P15*Engagement_Register!$AE$13</f>
        <v>0</v>
      </c>
      <c r="Q137" s="62" t="n">
        <f aca="false">Q15*Engagement_Register!$AE$13</f>
        <v>0</v>
      </c>
      <c r="R137" s="62" t="n">
        <f aca="false">R15*Engagement_Register!$AE$13</f>
        <v>0</v>
      </c>
      <c r="S137" s="62" t="n">
        <f aca="false">S15*Engagement_Register!$AE$13</f>
        <v>0</v>
      </c>
      <c r="T137" s="62" t="n">
        <f aca="false">T15*Engagement_Register!$AE$13</f>
        <v>0</v>
      </c>
      <c r="U137" s="62" t="n">
        <f aca="false">U15*Engagement_Register!$AE$13</f>
        <v>0</v>
      </c>
      <c r="V137" s="62" t="n">
        <f aca="false">V15*Engagement_Register!$AE$13</f>
        <v>0</v>
      </c>
      <c r="W137" s="62" t="n">
        <f aca="false">W15*Engagement_Register!$AE$13</f>
        <v>0</v>
      </c>
      <c r="X137" s="62" t="n">
        <f aca="false">X15*Engagement_Register!$AE$13</f>
        <v>0</v>
      </c>
      <c r="Y137" s="62" t="n">
        <f aca="false">Y15*Engagement_Register!$AE$13</f>
        <v>0</v>
      </c>
      <c r="Z137" s="62" t="n">
        <f aca="false">Z15*Engagement_Register!$AE$13</f>
        <v>0</v>
      </c>
      <c r="AA137" s="62" t="n">
        <f aca="false">AA15*Engagement_Register!$AE$13</f>
        <v>0</v>
      </c>
      <c r="AB137" s="62" t="n">
        <f aca="false">AB15*Engagement_Register!$AE$13</f>
        <v>0</v>
      </c>
    </row>
    <row r="138" customFormat="false" ht="15" hidden="false" customHeight="false" outlineLevel="0" collapsed="false">
      <c r="A138" s="29" t="s">
        <v>742</v>
      </c>
      <c r="B138" s="60" t="s">
        <v>866</v>
      </c>
      <c r="C138" s="61" t="n">
        <f aca="false">P138</f>
        <v>240000</v>
      </c>
      <c r="D138" s="61" t="n">
        <f aca="false">AB138</f>
        <v>240000</v>
      </c>
      <c r="E138" s="62" t="n">
        <f aca="false">IF(E$5="A",Engagement_Register!$U$13+Inputs_Actuals!E45,Engagement_Register!$AP$13*E135)</f>
        <v>40615.38</v>
      </c>
      <c r="F138" s="62" t="n">
        <f aca="false">IF(F$5="A",E138+Inputs_Actuals!F45,Engagement_Register!$AP$13*F135)</f>
        <v>81969.23</v>
      </c>
      <c r="G138" s="62" t="n">
        <f aca="false">IF(G$5="A",F138+Inputs_Actuals!G45,Engagement_Register!$AP$13*G135)</f>
        <v>119721.74</v>
      </c>
      <c r="H138" s="62" t="n">
        <f aca="false">IF(H$5="A",G138+Inputs_Actuals!H45,Engagement_Register!$AP$13*H135)</f>
        <v>155222.07</v>
      </c>
      <c r="I138" s="62" t="n">
        <f aca="false">IF(I$5="A",H138+Inputs_Actuals!I45,Engagement_Register!$AP$13*I135)</f>
        <v>189881.38</v>
      </c>
      <c r="J138" s="62" t="n">
        <f aca="false">IF(J$5="A",I138+Inputs_Actuals!J45,Engagement_Register!$AP$13*J135)</f>
        <v>240000</v>
      </c>
      <c r="K138" s="62" t="n">
        <f aca="false">IF(K$5="A",J138+Inputs_Actuals!K45,Engagement_Register!$AP$13*K135)</f>
        <v>240000</v>
      </c>
      <c r="L138" s="62" t="n">
        <f aca="false">IF(L$5="A",K138+Inputs_Actuals!L45,Engagement_Register!$AP$13*L135)</f>
        <v>240000</v>
      </c>
      <c r="M138" s="62" t="n">
        <f aca="false">IF(M$5="A",L138+Inputs_Actuals!M45,Engagement_Register!$AP$13*M135)</f>
        <v>240000</v>
      </c>
      <c r="N138" s="62" t="n">
        <f aca="false">IF(N$5="A",M138+Inputs_Actuals!N45,Engagement_Register!$AP$13*N135)</f>
        <v>240000</v>
      </c>
      <c r="O138" s="62" t="n">
        <f aca="false">IF(O$5="A",N138+Inputs_Actuals!O45,Engagement_Register!$AP$13*O135)</f>
        <v>240000</v>
      </c>
      <c r="P138" s="62" t="n">
        <f aca="false">IF(P$5="A",O138+Inputs_Actuals!P45,Engagement_Register!$AP$13*P135)</f>
        <v>240000</v>
      </c>
      <c r="Q138" s="62" t="n">
        <f aca="false">IF(Q$5="A",P138+Inputs_Actuals!Q45,Engagement_Register!$AP$13*Q135)</f>
        <v>240000</v>
      </c>
      <c r="R138" s="62" t="n">
        <f aca="false">IF(R$5="A",Q138+Inputs_Actuals!R45,Engagement_Register!$AP$13*R135)</f>
        <v>240000</v>
      </c>
      <c r="S138" s="62" t="n">
        <f aca="false">IF(S$5="A",R138+Inputs_Actuals!S45,Engagement_Register!$AP$13*S135)</f>
        <v>240000</v>
      </c>
      <c r="T138" s="62" t="n">
        <f aca="false">IF(T$5="A",S138+Inputs_Actuals!T45,Engagement_Register!$AP$13*T135)</f>
        <v>240000</v>
      </c>
      <c r="U138" s="62" t="n">
        <f aca="false">IF(U$5="A",T138+Inputs_Actuals!U45,Engagement_Register!$AP$13*U135)</f>
        <v>240000</v>
      </c>
      <c r="V138" s="62" t="n">
        <f aca="false">IF(V$5="A",U138+Inputs_Actuals!V45,Engagement_Register!$AP$13*V135)</f>
        <v>240000</v>
      </c>
      <c r="W138" s="62" t="n">
        <f aca="false">IF(W$5="A",V138+Inputs_Actuals!W45,Engagement_Register!$AP$13*W135)</f>
        <v>240000</v>
      </c>
      <c r="X138" s="62" t="n">
        <f aca="false">IF(X$5="A",W138+Inputs_Actuals!X45,Engagement_Register!$AP$13*X135)</f>
        <v>240000</v>
      </c>
      <c r="Y138" s="62" t="n">
        <f aca="false">IF(Y$5="A",X138+Inputs_Actuals!Y45,Engagement_Register!$AP$13*Y135)</f>
        <v>240000</v>
      </c>
      <c r="Z138" s="62" t="n">
        <f aca="false">IF(Z$5="A",Y138+Inputs_Actuals!Z45,Engagement_Register!$AP$13*Z135)</f>
        <v>240000</v>
      </c>
      <c r="AA138" s="62" t="n">
        <f aca="false">IF(AA$5="A",Z138+Inputs_Actuals!AA45,Engagement_Register!$AP$13*AA135)</f>
        <v>240000</v>
      </c>
      <c r="AB138" s="62" t="n">
        <f aca="false">IF(AB$5="A",AA138+Inputs_Actuals!AB45,Engagement_Register!$AP$13*AB135)</f>
        <v>240000</v>
      </c>
    </row>
    <row r="139" customFormat="false" ht="15" hidden="false" customHeight="false" outlineLevel="0" collapsed="false">
      <c r="A139" s="68" t="s">
        <v>349</v>
      </c>
      <c r="B139" s="69" t="s">
        <v>859</v>
      </c>
      <c r="C139" s="70" t="n">
        <f aca="false">SUM(E139:P139)</f>
        <v>240000</v>
      </c>
      <c r="D139" s="70" t="n">
        <f aca="false">SUM(Q139:AB139)</f>
        <v>0</v>
      </c>
      <c r="E139" s="74" t="n">
        <f aca="false">E138-Engagement_Register!$U$13</f>
        <v>40615.38</v>
      </c>
      <c r="F139" s="70" t="n">
        <f aca="false">F138-E138</f>
        <v>41353.85</v>
      </c>
      <c r="G139" s="70" t="n">
        <f aca="false">G138-F138</f>
        <v>37752.51</v>
      </c>
      <c r="H139" s="70" t="n">
        <f aca="false">H138-G138</f>
        <v>35500.33</v>
      </c>
      <c r="I139" s="70" t="n">
        <f aca="false">I138-H138</f>
        <v>34659.31</v>
      </c>
      <c r="J139" s="70" t="n">
        <f aca="false">J138-I138</f>
        <v>50118.62</v>
      </c>
      <c r="K139" s="70" t="n">
        <f aca="false">K138-J138</f>
        <v>0</v>
      </c>
      <c r="L139" s="70" t="n">
        <f aca="false">L138-K138</f>
        <v>0</v>
      </c>
      <c r="M139" s="70" t="n">
        <f aca="false">M138-L138</f>
        <v>0</v>
      </c>
      <c r="N139" s="70" t="n">
        <f aca="false">N138-M138</f>
        <v>0</v>
      </c>
      <c r="O139" s="70" t="n">
        <f aca="false">O138-N138</f>
        <v>0</v>
      </c>
      <c r="P139" s="70" t="n">
        <f aca="false">P138-O138</f>
        <v>0</v>
      </c>
      <c r="Q139" s="70" t="n">
        <f aca="false">Q138-P138</f>
        <v>0</v>
      </c>
      <c r="R139" s="70" t="n">
        <f aca="false">R138-Q138</f>
        <v>0</v>
      </c>
      <c r="S139" s="70" t="n">
        <f aca="false">S138-R138</f>
        <v>0</v>
      </c>
      <c r="T139" s="70" t="n">
        <f aca="false">T138-S138</f>
        <v>0</v>
      </c>
      <c r="U139" s="70" t="n">
        <f aca="false">U138-T138</f>
        <v>0</v>
      </c>
      <c r="V139" s="70" t="n">
        <f aca="false">V138-U138</f>
        <v>0</v>
      </c>
      <c r="W139" s="70" t="n">
        <f aca="false">W138-V138</f>
        <v>0</v>
      </c>
      <c r="X139" s="70" t="n">
        <f aca="false">X138-W138</f>
        <v>0</v>
      </c>
      <c r="Y139" s="70" t="n">
        <f aca="false">Y138-X138</f>
        <v>0</v>
      </c>
      <c r="Z139" s="70" t="n">
        <f aca="false">Z138-Y138</f>
        <v>0</v>
      </c>
      <c r="AA139" s="70" t="n">
        <f aca="false">AA138-Z138</f>
        <v>0</v>
      </c>
      <c r="AB139" s="70" t="n">
        <f aca="false">AB138-AA138</f>
        <v>0</v>
      </c>
    </row>
    <row r="140" customFormat="false" ht="15" hidden="false" customHeight="false" outlineLevel="0" collapsed="false">
      <c r="A140" s="29" t="s">
        <v>867</v>
      </c>
      <c r="B140" s="60" t="s">
        <v>868</v>
      </c>
      <c r="C140" s="61" t="n">
        <f aca="false">P140</f>
        <v>240000</v>
      </c>
      <c r="D140" s="61" t="n">
        <f aca="false">AB140</f>
        <v>240000</v>
      </c>
      <c r="E140" s="62" t="n">
        <f aca="false">Engagement_Register!$AP$13*(Assumptions!$C$146*(Assumptions!E$187&gt;=Engagement_Register!$AG$13)+Assumptions!$C$147*(Assumptions!E$187&gt;=Engagement_Register!$AI$13)+Assumptions!$C$148*(Assumptions!E$187&gt;=Engagement_Register!$AH$13))</f>
        <v>72000</v>
      </c>
      <c r="F140" s="62" t="n">
        <f aca="false">Engagement_Register!$AP$13*(Assumptions!$C$146*(Assumptions!F$187&gt;=Engagement_Register!$AG$13)+Assumptions!$C$147*(Assumptions!F$187&gt;=Engagement_Register!$AI$13)+Assumptions!$C$148*(Assumptions!F$187&gt;=Engagement_Register!$AH$13))</f>
        <v>72000</v>
      </c>
      <c r="G140" s="62" t="n">
        <f aca="false">Engagement_Register!$AP$13*(Assumptions!$C$146*(Assumptions!G$187&gt;=Engagement_Register!$AG$13)+Assumptions!$C$147*(Assumptions!G$187&gt;=Engagement_Register!$AI$13)+Assumptions!$C$148*(Assumptions!G$187&gt;=Engagement_Register!$AH$13))</f>
        <v>72000</v>
      </c>
      <c r="H140" s="62" t="n">
        <f aca="false">Engagement_Register!$AP$13*(Assumptions!$C$146*(Assumptions!H$187&gt;=Engagement_Register!$AG$13)+Assumptions!$C$147*(Assumptions!H$187&gt;=Engagement_Register!$AI$13)+Assumptions!$C$148*(Assumptions!H$187&gt;=Engagement_Register!$AH$13))</f>
        <v>168000</v>
      </c>
      <c r="I140" s="62" t="n">
        <f aca="false">Engagement_Register!$AP$13*(Assumptions!$C$146*(Assumptions!I$187&gt;=Engagement_Register!$AG$13)+Assumptions!$C$147*(Assumptions!I$187&gt;=Engagement_Register!$AI$13)+Assumptions!$C$148*(Assumptions!I$187&gt;=Engagement_Register!$AH$13))</f>
        <v>168000</v>
      </c>
      <c r="J140" s="62" t="n">
        <f aca="false">Engagement_Register!$AP$13*(Assumptions!$C$146*(Assumptions!J$187&gt;=Engagement_Register!$AG$13)+Assumptions!$C$147*(Assumptions!J$187&gt;=Engagement_Register!$AI$13)+Assumptions!$C$148*(Assumptions!J$187&gt;=Engagement_Register!$AH$13))</f>
        <v>240000</v>
      </c>
      <c r="K140" s="62" t="n">
        <f aca="false">Engagement_Register!$AP$13*(Assumptions!$C$146*(Assumptions!K$187&gt;=Engagement_Register!$AG$13)+Assumptions!$C$147*(Assumptions!K$187&gt;=Engagement_Register!$AI$13)+Assumptions!$C$148*(Assumptions!K$187&gt;=Engagement_Register!$AH$13))</f>
        <v>240000</v>
      </c>
      <c r="L140" s="62" t="n">
        <f aca="false">Engagement_Register!$AP$13*(Assumptions!$C$146*(Assumptions!L$187&gt;=Engagement_Register!$AG$13)+Assumptions!$C$147*(Assumptions!L$187&gt;=Engagement_Register!$AI$13)+Assumptions!$C$148*(Assumptions!L$187&gt;=Engagement_Register!$AH$13))</f>
        <v>240000</v>
      </c>
      <c r="M140" s="62" t="n">
        <f aca="false">Engagement_Register!$AP$13*(Assumptions!$C$146*(Assumptions!M$187&gt;=Engagement_Register!$AG$13)+Assumptions!$C$147*(Assumptions!M$187&gt;=Engagement_Register!$AI$13)+Assumptions!$C$148*(Assumptions!M$187&gt;=Engagement_Register!$AH$13))</f>
        <v>240000</v>
      </c>
      <c r="N140" s="62" t="n">
        <f aca="false">Engagement_Register!$AP$13*(Assumptions!$C$146*(Assumptions!N$187&gt;=Engagement_Register!$AG$13)+Assumptions!$C$147*(Assumptions!N$187&gt;=Engagement_Register!$AI$13)+Assumptions!$C$148*(Assumptions!N$187&gt;=Engagement_Register!$AH$13))</f>
        <v>240000</v>
      </c>
      <c r="O140" s="62" t="n">
        <f aca="false">Engagement_Register!$AP$13*(Assumptions!$C$146*(Assumptions!O$187&gt;=Engagement_Register!$AG$13)+Assumptions!$C$147*(Assumptions!O$187&gt;=Engagement_Register!$AI$13)+Assumptions!$C$148*(Assumptions!O$187&gt;=Engagement_Register!$AH$13))</f>
        <v>240000</v>
      </c>
      <c r="P140" s="62" t="n">
        <f aca="false">Engagement_Register!$AP$13*(Assumptions!$C$146*(Assumptions!P$187&gt;=Engagement_Register!$AG$13)+Assumptions!$C$147*(Assumptions!P$187&gt;=Engagement_Register!$AI$13)+Assumptions!$C$148*(Assumptions!P$187&gt;=Engagement_Register!$AH$13))</f>
        <v>240000</v>
      </c>
      <c r="Q140" s="62" t="n">
        <f aca="false">Engagement_Register!$AP$13*(Assumptions!$C$146*(Assumptions!Q$187&gt;=Engagement_Register!$AG$13)+Assumptions!$C$147*(Assumptions!Q$187&gt;=Engagement_Register!$AI$13)+Assumptions!$C$148*(Assumptions!Q$187&gt;=Engagement_Register!$AH$13))</f>
        <v>240000</v>
      </c>
      <c r="R140" s="62" t="n">
        <f aca="false">Engagement_Register!$AP$13*(Assumptions!$C$146*(Assumptions!R$187&gt;=Engagement_Register!$AG$13)+Assumptions!$C$147*(Assumptions!R$187&gt;=Engagement_Register!$AI$13)+Assumptions!$C$148*(Assumptions!R$187&gt;=Engagement_Register!$AH$13))</f>
        <v>240000</v>
      </c>
      <c r="S140" s="62" t="n">
        <f aca="false">Engagement_Register!$AP$13*(Assumptions!$C$146*(Assumptions!S$187&gt;=Engagement_Register!$AG$13)+Assumptions!$C$147*(Assumptions!S$187&gt;=Engagement_Register!$AI$13)+Assumptions!$C$148*(Assumptions!S$187&gt;=Engagement_Register!$AH$13))</f>
        <v>240000</v>
      </c>
      <c r="T140" s="62" t="n">
        <f aca="false">Engagement_Register!$AP$13*(Assumptions!$C$146*(Assumptions!T$187&gt;=Engagement_Register!$AG$13)+Assumptions!$C$147*(Assumptions!T$187&gt;=Engagement_Register!$AI$13)+Assumptions!$C$148*(Assumptions!T$187&gt;=Engagement_Register!$AH$13))</f>
        <v>240000</v>
      </c>
      <c r="U140" s="62" t="n">
        <f aca="false">Engagement_Register!$AP$13*(Assumptions!$C$146*(Assumptions!U$187&gt;=Engagement_Register!$AG$13)+Assumptions!$C$147*(Assumptions!U$187&gt;=Engagement_Register!$AI$13)+Assumptions!$C$148*(Assumptions!U$187&gt;=Engagement_Register!$AH$13))</f>
        <v>240000</v>
      </c>
      <c r="V140" s="62" t="n">
        <f aca="false">Engagement_Register!$AP$13*(Assumptions!$C$146*(Assumptions!V$187&gt;=Engagement_Register!$AG$13)+Assumptions!$C$147*(Assumptions!V$187&gt;=Engagement_Register!$AI$13)+Assumptions!$C$148*(Assumptions!V$187&gt;=Engagement_Register!$AH$13))</f>
        <v>240000</v>
      </c>
      <c r="W140" s="62" t="n">
        <f aca="false">Engagement_Register!$AP$13*(Assumptions!$C$146*(Assumptions!W$187&gt;=Engagement_Register!$AG$13)+Assumptions!$C$147*(Assumptions!W$187&gt;=Engagement_Register!$AI$13)+Assumptions!$C$148*(Assumptions!W$187&gt;=Engagement_Register!$AH$13))</f>
        <v>240000</v>
      </c>
      <c r="X140" s="62" t="n">
        <f aca="false">Engagement_Register!$AP$13*(Assumptions!$C$146*(Assumptions!X$187&gt;=Engagement_Register!$AG$13)+Assumptions!$C$147*(Assumptions!X$187&gt;=Engagement_Register!$AI$13)+Assumptions!$C$148*(Assumptions!X$187&gt;=Engagement_Register!$AH$13))</f>
        <v>240000</v>
      </c>
      <c r="Y140" s="62" t="n">
        <f aca="false">Engagement_Register!$AP$13*(Assumptions!$C$146*(Assumptions!Y$187&gt;=Engagement_Register!$AG$13)+Assumptions!$C$147*(Assumptions!Y$187&gt;=Engagement_Register!$AI$13)+Assumptions!$C$148*(Assumptions!Y$187&gt;=Engagement_Register!$AH$13))</f>
        <v>240000</v>
      </c>
      <c r="Z140" s="62" t="n">
        <f aca="false">Engagement_Register!$AP$13*(Assumptions!$C$146*(Assumptions!Z$187&gt;=Engagement_Register!$AG$13)+Assumptions!$C$147*(Assumptions!Z$187&gt;=Engagement_Register!$AI$13)+Assumptions!$C$148*(Assumptions!Z$187&gt;=Engagement_Register!$AH$13))</f>
        <v>240000</v>
      </c>
      <c r="AA140" s="62" t="n">
        <f aca="false">Engagement_Register!$AP$13*(Assumptions!$C$146*(Assumptions!AA$187&gt;=Engagement_Register!$AG$13)+Assumptions!$C$147*(Assumptions!AA$187&gt;=Engagement_Register!$AI$13)+Assumptions!$C$148*(Assumptions!AA$187&gt;=Engagement_Register!$AH$13))</f>
        <v>240000</v>
      </c>
      <c r="AB140" s="62" t="n">
        <f aca="false">Engagement_Register!$AP$13*(Assumptions!$C$146*(Assumptions!AB$187&gt;=Engagement_Register!$AG$13)+Assumptions!$C$147*(Assumptions!AB$187&gt;=Engagement_Register!$AI$13)+Assumptions!$C$148*(Assumptions!AB$187&gt;=Engagement_Register!$AH$13))</f>
        <v>240000</v>
      </c>
    </row>
    <row r="141" customFormat="false" ht="15" hidden="false" customHeight="false" outlineLevel="0" collapsed="false">
      <c r="A141" s="29" t="s">
        <v>838</v>
      </c>
      <c r="B141" s="60" t="s">
        <v>869</v>
      </c>
      <c r="C141" s="61" t="n">
        <f aca="false">SUM(E141:P141)</f>
        <v>240000</v>
      </c>
      <c r="D141" s="61" t="n">
        <f aca="false">SUM(Q141:AB141)</f>
        <v>0</v>
      </c>
      <c r="E141" s="62" t="n">
        <f aca="false">IF(E$5="A",Inputs_Actuals!E46,MAX(0,E140-Engagement_Register!$V$13))</f>
        <v>72000</v>
      </c>
      <c r="F141" s="62" t="n">
        <f aca="false">IF(F$5="A",Inputs_Actuals!F46,MAX(0,F140-E142))</f>
        <v>0</v>
      </c>
      <c r="G141" s="62" t="n">
        <f aca="false">IF(G$5="A",Inputs_Actuals!G46,MAX(0,G140-F142))</f>
        <v>0</v>
      </c>
      <c r="H141" s="62" t="n">
        <f aca="false">IF(H$5="A",Inputs_Actuals!H46,MAX(0,H140-G142))</f>
        <v>96000</v>
      </c>
      <c r="I141" s="62" t="n">
        <f aca="false">IF(I$5="A",Inputs_Actuals!I46,MAX(0,I140-H142))</f>
        <v>0</v>
      </c>
      <c r="J141" s="62" t="n">
        <f aca="false">IF(J$5="A",Inputs_Actuals!J46,MAX(0,J140-I142))</f>
        <v>72000</v>
      </c>
      <c r="K141" s="62" t="n">
        <f aca="false">IF(K$5="A",Inputs_Actuals!K46,MAX(0,K140-J142))</f>
        <v>0</v>
      </c>
      <c r="L141" s="62" t="n">
        <f aca="false">IF(L$5="A",Inputs_Actuals!L46,MAX(0,L140-K142))</f>
        <v>0</v>
      </c>
      <c r="M141" s="62" t="n">
        <f aca="false">IF(M$5="A",Inputs_Actuals!M46,MAX(0,M140-L142))</f>
        <v>0</v>
      </c>
      <c r="N141" s="62" t="n">
        <f aca="false">IF(N$5="A",Inputs_Actuals!N46,MAX(0,N140-M142))</f>
        <v>0</v>
      </c>
      <c r="O141" s="62" t="n">
        <f aca="false">IF(O$5="A",Inputs_Actuals!O46,MAX(0,O140-N142))</f>
        <v>0</v>
      </c>
      <c r="P141" s="62" t="n">
        <f aca="false">IF(P$5="A",Inputs_Actuals!P46,MAX(0,P140-O142))</f>
        <v>0</v>
      </c>
      <c r="Q141" s="62" t="n">
        <f aca="false">IF(Q$5="A",Inputs_Actuals!Q46,MAX(0,Q140-P142))</f>
        <v>0</v>
      </c>
      <c r="R141" s="62" t="n">
        <f aca="false">IF(R$5="A",Inputs_Actuals!R46,MAX(0,R140-Q142))</f>
        <v>0</v>
      </c>
      <c r="S141" s="62" t="n">
        <f aca="false">IF(S$5="A",Inputs_Actuals!S46,MAX(0,S140-R142))</f>
        <v>0</v>
      </c>
      <c r="T141" s="62" t="n">
        <f aca="false">IF(T$5="A",Inputs_Actuals!T46,MAX(0,T140-S142))</f>
        <v>0</v>
      </c>
      <c r="U141" s="62" t="n">
        <f aca="false">IF(U$5="A",Inputs_Actuals!U46,MAX(0,U140-T142))</f>
        <v>0</v>
      </c>
      <c r="V141" s="62" t="n">
        <f aca="false">IF(V$5="A",Inputs_Actuals!V46,MAX(0,V140-U142))</f>
        <v>0</v>
      </c>
      <c r="W141" s="62" t="n">
        <f aca="false">IF(W$5="A",Inputs_Actuals!W46,MAX(0,W140-V142))</f>
        <v>0</v>
      </c>
      <c r="X141" s="62" t="n">
        <f aca="false">IF(X$5="A",Inputs_Actuals!X46,MAX(0,X140-W142))</f>
        <v>0</v>
      </c>
      <c r="Y141" s="62" t="n">
        <f aca="false">IF(Y$5="A",Inputs_Actuals!Y46,MAX(0,Y140-X142))</f>
        <v>0</v>
      </c>
      <c r="Z141" s="62" t="n">
        <f aca="false">IF(Z$5="A",Inputs_Actuals!Z46,MAX(0,Z140-Y142))</f>
        <v>0</v>
      </c>
      <c r="AA141" s="62" t="n">
        <f aca="false">IF(AA$5="A",Inputs_Actuals!AA46,MAX(0,AA140-Z142))</f>
        <v>0</v>
      </c>
      <c r="AB141" s="62" t="n">
        <f aca="false">IF(AB$5="A",Inputs_Actuals!AB46,MAX(0,AB140-AA142))</f>
        <v>0</v>
      </c>
    </row>
    <row r="142" customFormat="false" ht="15" hidden="false" customHeight="false" outlineLevel="0" collapsed="false">
      <c r="A142" s="29" t="s">
        <v>840</v>
      </c>
      <c r="B142" s="60"/>
      <c r="C142" s="61" t="n">
        <f aca="false">P142</f>
        <v>240000</v>
      </c>
      <c r="D142" s="61" t="n">
        <f aca="false">AB142</f>
        <v>240000</v>
      </c>
      <c r="E142" s="62" t="n">
        <f aca="false">Engagement_Register!$V$13+E141</f>
        <v>72000</v>
      </c>
      <c r="F142" s="71" t="n">
        <f aca="false">E142+F141</f>
        <v>72000</v>
      </c>
      <c r="G142" s="71" t="n">
        <f aca="false">F142+G141</f>
        <v>72000</v>
      </c>
      <c r="H142" s="71" t="n">
        <f aca="false">G142+H141</f>
        <v>168000</v>
      </c>
      <c r="I142" s="71" t="n">
        <f aca="false">H142+I141</f>
        <v>168000</v>
      </c>
      <c r="J142" s="71" t="n">
        <f aca="false">I142+J141</f>
        <v>240000</v>
      </c>
      <c r="K142" s="71" t="n">
        <f aca="false">J142+K141</f>
        <v>240000</v>
      </c>
      <c r="L142" s="71" t="n">
        <f aca="false">K142+L141</f>
        <v>240000</v>
      </c>
      <c r="M142" s="71" t="n">
        <f aca="false">L142+M141</f>
        <v>240000</v>
      </c>
      <c r="N142" s="71" t="n">
        <f aca="false">M142+N141</f>
        <v>240000</v>
      </c>
      <c r="O142" s="71" t="n">
        <f aca="false">N142+O141</f>
        <v>240000</v>
      </c>
      <c r="P142" s="71" t="n">
        <f aca="false">O142+P141</f>
        <v>240000</v>
      </c>
      <c r="Q142" s="71" t="n">
        <f aca="false">P142+Q141</f>
        <v>240000</v>
      </c>
      <c r="R142" s="71" t="n">
        <f aca="false">Q142+R141</f>
        <v>240000</v>
      </c>
      <c r="S142" s="71" t="n">
        <f aca="false">R142+S141</f>
        <v>240000</v>
      </c>
      <c r="T142" s="71" t="n">
        <f aca="false">S142+T141</f>
        <v>240000</v>
      </c>
      <c r="U142" s="71" t="n">
        <f aca="false">T142+U141</f>
        <v>240000</v>
      </c>
      <c r="V142" s="71" t="n">
        <f aca="false">U142+V141</f>
        <v>240000</v>
      </c>
      <c r="W142" s="71" t="n">
        <f aca="false">V142+W141</f>
        <v>240000</v>
      </c>
      <c r="X142" s="71" t="n">
        <f aca="false">W142+X141</f>
        <v>240000</v>
      </c>
      <c r="Y142" s="71" t="n">
        <f aca="false">X142+Y141</f>
        <v>240000</v>
      </c>
      <c r="Z142" s="71" t="n">
        <f aca="false">Y142+Z141</f>
        <v>240000</v>
      </c>
      <c r="AA142" s="71" t="n">
        <f aca="false">Z142+AA141</f>
        <v>240000</v>
      </c>
      <c r="AB142" s="71" t="n">
        <f aca="false">AA142+AB141</f>
        <v>240000</v>
      </c>
    </row>
    <row r="143" customFormat="false" ht="15" hidden="false" customHeight="false" outlineLevel="0" collapsed="false">
      <c r="A143" s="29" t="s">
        <v>841</v>
      </c>
      <c r="B143" s="60" t="s">
        <v>842</v>
      </c>
      <c r="C143" s="61" t="n">
        <f aca="false">SUM(E143:P143)</f>
        <v>16779.98</v>
      </c>
      <c r="D143" s="61" t="n">
        <f aca="false">SUM(Q143:AB143)</f>
        <v>0</v>
      </c>
      <c r="E143" s="62" t="n">
        <f aca="false">IF(E$5="A",Inputs_Actuals!E47,E15*Engagement_Register!$N$13*Assumptions!E$195)</f>
        <v>3032.46</v>
      </c>
      <c r="F143" s="62" t="n">
        <f aca="false">IF(F$5="A",Inputs_Actuals!F47,F15*Engagement_Register!$N$13*Assumptions!F$195)</f>
        <v>2876.73</v>
      </c>
      <c r="G143" s="62" t="n">
        <f aca="false">IF(G$5="A",Inputs_Actuals!G47,G15*Engagement_Register!$N$13*Assumptions!G$195)</f>
        <v>3209.29</v>
      </c>
      <c r="H143" s="62" t="n">
        <f aca="false">IF(H$5="A",Inputs_Actuals!H47,H15*Engagement_Register!$N$13*Assumptions!H$195)</f>
        <v>1837.95</v>
      </c>
      <c r="I143" s="62" t="n">
        <f aca="false">IF(I$5="A",Inputs_Actuals!I47,I15*Engagement_Register!$N$13*Assumptions!I$195)</f>
        <v>2440.35</v>
      </c>
      <c r="J143" s="62" t="n">
        <f aca="false">IF(J$5="A",Inputs_Actuals!J47,J15*Engagement_Register!$N$13*Assumptions!J$195)</f>
        <v>3383.2</v>
      </c>
      <c r="K143" s="62" t="n">
        <f aca="false">IF(K$5="A",Inputs_Actuals!K47,K15*Engagement_Register!$N$13*Assumptions!K$195)</f>
        <v>0</v>
      </c>
      <c r="L143" s="62" t="n">
        <f aca="false">IF(L$5="A",Inputs_Actuals!L47,L15*Engagement_Register!$N$13*Assumptions!L$195)</f>
        <v>0</v>
      </c>
      <c r="M143" s="62" t="n">
        <f aca="false">IF(M$5="A",Inputs_Actuals!M47,M15*Engagement_Register!$N$13*Assumptions!M$195)</f>
        <v>0</v>
      </c>
      <c r="N143" s="62" t="n">
        <f aca="false">IF(N$5="A",Inputs_Actuals!N47,N15*Engagement_Register!$N$13*Assumptions!N$195)</f>
        <v>0</v>
      </c>
      <c r="O143" s="62" t="n">
        <f aca="false">IF(O$5="A",Inputs_Actuals!O47,O15*Engagement_Register!$N$13*Assumptions!O$195)</f>
        <v>0</v>
      </c>
      <c r="P143" s="62" t="n">
        <f aca="false">IF(P$5="A",Inputs_Actuals!P47,P15*Engagement_Register!$N$13*Assumptions!P$195)</f>
        <v>0</v>
      </c>
      <c r="Q143" s="62" t="n">
        <f aca="false">IF(Q$5="A",Inputs_Actuals!Q47,Q15*Engagement_Register!$N$13*Assumptions!Q$195)</f>
        <v>0</v>
      </c>
      <c r="R143" s="62" t="n">
        <f aca="false">IF(R$5="A",Inputs_Actuals!R47,R15*Engagement_Register!$N$13*Assumptions!R$195)</f>
        <v>0</v>
      </c>
      <c r="S143" s="62" t="n">
        <f aca="false">IF(S$5="A",Inputs_Actuals!S47,S15*Engagement_Register!$N$13*Assumptions!S$195)</f>
        <v>0</v>
      </c>
      <c r="T143" s="62" t="n">
        <f aca="false">IF(T$5="A",Inputs_Actuals!T47,T15*Engagement_Register!$N$13*Assumptions!T$195)</f>
        <v>0</v>
      </c>
      <c r="U143" s="62" t="n">
        <f aca="false">IF(U$5="A",Inputs_Actuals!U47,U15*Engagement_Register!$N$13*Assumptions!U$195)</f>
        <v>0</v>
      </c>
      <c r="V143" s="62" t="n">
        <f aca="false">IF(V$5="A",Inputs_Actuals!V47,V15*Engagement_Register!$N$13*Assumptions!V$195)</f>
        <v>0</v>
      </c>
      <c r="W143" s="62" t="n">
        <f aca="false">IF(W$5="A",Inputs_Actuals!W47,W15*Engagement_Register!$N$13*Assumptions!W$195)</f>
        <v>0</v>
      </c>
      <c r="X143" s="62" t="n">
        <f aca="false">IF(X$5="A",Inputs_Actuals!X47,X15*Engagement_Register!$N$13*Assumptions!X$195)</f>
        <v>0</v>
      </c>
      <c r="Y143" s="62" t="n">
        <f aca="false">IF(Y$5="A",Inputs_Actuals!Y47,Y15*Engagement_Register!$N$13*Assumptions!Y$195)</f>
        <v>0</v>
      </c>
      <c r="Z143" s="62" t="n">
        <f aca="false">IF(Z$5="A",Inputs_Actuals!Z47,Z15*Engagement_Register!$N$13*Assumptions!Z$195)</f>
        <v>0</v>
      </c>
      <c r="AA143" s="62" t="n">
        <f aca="false">IF(AA$5="A",Inputs_Actuals!AA47,AA15*Engagement_Register!$N$13*Assumptions!AA$195)</f>
        <v>0</v>
      </c>
      <c r="AB143" s="62" t="n">
        <f aca="false">IF(AB$5="A",Inputs_Actuals!AB47,AB15*Engagement_Register!$N$13*Assumptions!AB$195)</f>
        <v>0</v>
      </c>
    </row>
    <row r="144" customFormat="false" ht="15" hidden="false" customHeight="false" outlineLevel="0" collapsed="false">
      <c r="A144" s="29" t="s">
        <v>847</v>
      </c>
      <c r="B144" s="60" t="s">
        <v>848</v>
      </c>
      <c r="C144" s="61" t="n">
        <f aca="false">P144</f>
        <v>0</v>
      </c>
      <c r="D144" s="61" t="n">
        <f aca="false">AB144</f>
        <v>0</v>
      </c>
      <c r="E144" s="62" t="n">
        <f aca="false">Engagement_Register!$X$13+E139-E141</f>
        <v>-31384.62</v>
      </c>
      <c r="F144" s="71" t="n">
        <f aca="false">E144+F139-F141</f>
        <v>9969.23</v>
      </c>
      <c r="G144" s="71" t="n">
        <f aca="false">F144+G139-G141</f>
        <v>47721.74</v>
      </c>
      <c r="H144" s="71" t="n">
        <f aca="false">G144+H139-H141</f>
        <v>-12777.93</v>
      </c>
      <c r="I144" s="71" t="n">
        <f aca="false">H144+I139-I141</f>
        <v>21881.38</v>
      </c>
      <c r="J144" s="71" t="n">
        <f aca="false">I144+J139-J141</f>
        <v>0</v>
      </c>
      <c r="K144" s="71" t="n">
        <f aca="false">J144+K139-K141</f>
        <v>0</v>
      </c>
      <c r="L144" s="71" t="n">
        <f aca="false">K144+L139-L141</f>
        <v>0</v>
      </c>
      <c r="M144" s="71" t="n">
        <f aca="false">L144+M139-M141</f>
        <v>0</v>
      </c>
      <c r="N144" s="71" t="n">
        <f aca="false">M144+N139-N141</f>
        <v>0</v>
      </c>
      <c r="O144" s="71" t="n">
        <f aca="false">N144+O139-O141</f>
        <v>0</v>
      </c>
      <c r="P144" s="71" t="n">
        <f aca="false">O144+P139-P141</f>
        <v>0</v>
      </c>
      <c r="Q144" s="71" t="n">
        <f aca="false">P144+Q139-Q141</f>
        <v>0</v>
      </c>
      <c r="R144" s="71" t="n">
        <f aca="false">Q144+R139-R141</f>
        <v>0</v>
      </c>
      <c r="S144" s="71" t="n">
        <f aca="false">R144+S139-S141</f>
        <v>0</v>
      </c>
      <c r="T144" s="71" t="n">
        <f aca="false">S144+T139-T141</f>
        <v>0</v>
      </c>
      <c r="U144" s="71" t="n">
        <f aca="false">T144+U139-U141</f>
        <v>0</v>
      </c>
      <c r="V144" s="71" t="n">
        <f aca="false">U144+V139-V141</f>
        <v>0</v>
      </c>
      <c r="W144" s="71" t="n">
        <f aca="false">V144+W139-W141</f>
        <v>0</v>
      </c>
      <c r="X144" s="71" t="n">
        <f aca="false">W144+X139-X141</f>
        <v>0</v>
      </c>
      <c r="Y144" s="71" t="n">
        <f aca="false">X144+Y139-Y141</f>
        <v>0</v>
      </c>
      <c r="Z144" s="71" t="n">
        <f aca="false">Y144+Z139-Z141</f>
        <v>0</v>
      </c>
      <c r="AA144" s="71" t="n">
        <f aca="false">Z144+AA139-AA141</f>
        <v>0</v>
      </c>
      <c r="AB144" s="71" t="n">
        <f aca="false">AA144+AB139-AB141</f>
        <v>0</v>
      </c>
    </row>
    <row r="145" customFormat="false" ht="15" hidden="false" customHeight="false" outlineLevel="0" collapsed="false">
      <c r="A145" s="29" t="s">
        <v>849</v>
      </c>
      <c r="B145" s="60" t="s">
        <v>850</v>
      </c>
      <c r="C145" s="61" t="n">
        <f aca="false">P145</f>
        <v>0</v>
      </c>
      <c r="D145" s="61" t="n">
        <f aca="false">AB145</f>
        <v>0</v>
      </c>
      <c r="E145" s="62" t="n">
        <f aca="false">MAX(0,Engagement_Register!$AP$13-E138)</f>
        <v>199384.62</v>
      </c>
      <c r="F145" s="62" t="n">
        <f aca="false">MAX(0,Engagement_Register!$AP$13-F138)</f>
        <v>158030.77</v>
      </c>
      <c r="G145" s="62" t="n">
        <f aca="false">MAX(0,Engagement_Register!$AP$13-G138)</f>
        <v>120278.26</v>
      </c>
      <c r="H145" s="62" t="n">
        <f aca="false">MAX(0,Engagement_Register!$AP$13-H138)</f>
        <v>84777.93</v>
      </c>
      <c r="I145" s="62" t="n">
        <f aca="false">MAX(0,Engagement_Register!$AP$13-I138)</f>
        <v>50118.62</v>
      </c>
      <c r="J145" s="62" t="n">
        <f aca="false">MAX(0,Engagement_Register!$AP$13-J138)</f>
        <v>0</v>
      </c>
      <c r="K145" s="62" t="n">
        <f aca="false">MAX(0,Engagement_Register!$AP$13-K138)</f>
        <v>0</v>
      </c>
      <c r="L145" s="62" t="n">
        <f aca="false">MAX(0,Engagement_Register!$AP$13-L138)</f>
        <v>0</v>
      </c>
      <c r="M145" s="62" t="n">
        <f aca="false">MAX(0,Engagement_Register!$AP$13-M138)</f>
        <v>0</v>
      </c>
      <c r="N145" s="62" t="n">
        <f aca="false">MAX(0,Engagement_Register!$AP$13-N138)</f>
        <v>0</v>
      </c>
      <c r="O145" s="62" t="n">
        <f aca="false">MAX(0,Engagement_Register!$AP$13-O138)</f>
        <v>0</v>
      </c>
      <c r="P145" s="62" t="n">
        <f aca="false">MAX(0,Engagement_Register!$AP$13-P138)</f>
        <v>0</v>
      </c>
      <c r="Q145" s="62" t="n">
        <f aca="false">MAX(0,Engagement_Register!$AP$13-Q138)</f>
        <v>0</v>
      </c>
      <c r="R145" s="62" t="n">
        <f aca="false">MAX(0,Engagement_Register!$AP$13-R138)</f>
        <v>0</v>
      </c>
      <c r="S145" s="62" t="n">
        <f aca="false">MAX(0,Engagement_Register!$AP$13-S138)</f>
        <v>0</v>
      </c>
      <c r="T145" s="62" t="n">
        <f aca="false">MAX(0,Engagement_Register!$AP$13-T138)</f>
        <v>0</v>
      </c>
      <c r="U145" s="62" t="n">
        <f aca="false">MAX(0,Engagement_Register!$AP$13-U138)</f>
        <v>0</v>
      </c>
      <c r="V145" s="62" t="n">
        <f aca="false">MAX(0,Engagement_Register!$AP$13-V138)</f>
        <v>0</v>
      </c>
      <c r="W145" s="62" t="n">
        <f aca="false">MAX(0,Engagement_Register!$AP$13-W138)</f>
        <v>0</v>
      </c>
      <c r="X145" s="62" t="n">
        <f aca="false">MAX(0,Engagement_Register!$AP$13-X138)</f>
        <v>0</v>
      </c>
      <c r="Y145" s="62" t="n">
        <f aca="false">MAX(0,Engagement_Register!$AP$13-Y138)</f>
        <v>0</v>
      </c>
      <c r="Z145" s="62" t="n">
        <f aca="false">MAX(0,Engagement_Register!$AP$13-Z138)</f>
        <v>0</v>
      </c>
      <c r="AA145" s="62" t="n">
        <f aca="false">MAX(0,Engagement_Register!$AP$13-AA138)</f>
        <v>0</v>
      </c>
      <c r="AB145" s="62" t="n">
        <f aca="false">MAX(0,Engagement_Register!$AP$13-AB138)</f>
        <v>0</v>
      </c>
    </row>
    <row r="146" customFormat="false" ht="15" hidden="false" customHeight="false" outlineLevel="0" collapsed="false">
      <c r="A146" s="29" t="s">
        <v>861</v>
      </c>
      <c r="B146" s="60" t="s">
        <v>862</v>
      </c>
      <c r="E146" s="62" t="n">
        <f aca="false">IF(E$5="A",ROUND(E138-E135*Engagement_Register!$AP$13,0),0)</f>
        <v>-0</v>
      </c>
      <c r="F146" s="62" t="n">
        <f aca="false">IF(F$5="A",ROUND(F138-F135*Engagement_Register!$AP$13,0),0)</f>
        <v>-0</v>
      </c>
      <c r="G146" s="62" t="n">
        <f aca="false">IF(G$5="A",ROUND(G138-G135*Engagement_Register!$AP$13,0),0)</f>
        <v>0</v>
      </c>
      <c r="H146" s="62" t="n">
        <f aca="false">IF(H$5="A",ROUND(H138-H135*Engagement_Register!$AP$13,0),0)</f>
        <v>0</v>
      </c>
      <c r="I146" s="62" t="n">
        <f aca="false">IF(I$5="A",ROUND(I138-I135*Engagement_Register!$AP$13,0),0)</f>
        <v>0</v>
      </c>
      <c r="J146" s="62" t="n">
        <f aca="false">IF(J$5="A",ROUND(J138-J135*Engagement_Register!$AP$13,0),0)</f>
        <v>0</v>
      </c>
      <c r="K146" s="62" t="n">
        <f aca="false">IF(K$5="A",ROUND(K138-K135*Engagement_Register!$AP$13,0),0)</f>
        <v>0</v>
      </c>
      <c r="L146" s="62" t="n">
        <f aca="false">IF(L$5="A",ROUND(L138-L135*Engagement_Register!$AP$13,0),0)</f>
        <v>0</v>
      </c>
      <c r="M146" s="62" t="n">
        <f aca="false">IF(M$5="A",ROUND(M138-M135*Engagement_Register!$AP$13,0),0)</f>
        <v>0</v>
      </c>
      <c r="N146" s="62" t="n">
        <f aca="false">IF(N$5="A",ROUND(N138-N135*Engagement_Register!$AP$13,0),0)</f>
        <v>0</v>
      </c>
      <c r="O146" s="62" t="n">
        <f aca="false">IF(O$5="A",ROUND(O138-O135*Engagement_Register!$AP$13,0),0)</f>
        <v>0</v>
      </c>
      <c r="P146" s="62" t="n">
        <f aca="false">IF(P$5="A",ROUND(P138-P135*Engagement_Register!$AP$13,0),0)</f>
        <v>0</v>
      </c>
      <c r="Q146" s="62" t="n">
        <f aca="false">IF(Q$5="A",ROUND(Q138-Q135*Engagement_Register!$AP$13,0),0)</f>
        <v>0</v>
      </c>
      <c r="R146" s="62" t="n">
        <f aca="false">IF(R$5="A",ROUND(R138-R135*Engagement_Register!$AP$13,0),0)</f>
        <v>0</v>
      </c>
      <c r="S146" s="62" t="n">
        <f aca="false">IF(S$5="A",ROUND(S138-S135*Engagement_Register!$AP$13,0),0)</f>
        <v>0</v>
      </c>
      <c r="T146" s="62" t="n">
        <f aca="false">IF(T$5="A",ROUND(T138-T135*Engagement_Register!$AP$13,0),0)</f>
        <v>0</v>
      </c>
      <c r="U146" s="62" t="n">
        <f aca="false">IF(U$5="A",ROUND(U138-U135*Engagement_Register!$AP$13,0),0)</f>
        <v>0</v>
      </c>
      <c r="V146" s="62" t="n">
        <f aca="false">IF(V$5="A",ROUND(V138-V135*Engagement_Register!$AP$13,0),0)</f>
        <v>0</v>
      </c>
      <c r="W146" s="62" t="n">
        <f aca="false">IF(W$5="A",ROUND(W138-W135*Engagement_Register!$AP$13,0),0)</f>
        <v>0</v>
      </c>
      <c r="X146" s="62" t="n">
        <f aca="false">IF(X$5="A",ROUND(X138-X135*Engagement_Register!$AP$13,0),0)</f>
        <v>0</v>
      </c>
      <c r="Y146" s="62" t="n">
        <f aca="false">IF(Y$5="A",ROUND(Y138-Y135*Engagement_Register!$AP$13,0),0)</f>
        <v>0</v>
      </c>
      <c r="Z146" s="62" t="n">
        <f aca="false">IF(Z$5="A",ROUND(Z138-Z135*Engagement_Register!$AP$13,0),0)</f>
        <v>0</v>
      </c>
      <c r="AA146" s="62" t="n">
        <f aca="false">IF(AA$5="A",ROUND(AA138-AA135*Engagement_Register!$AP$13,0),0)</f>
        <v>0</v>
      </c>
      <c r="AB146" s="62" t="n">
        <f aca="false">IF(AB$5="A",ROUND(AB138-AB135*Engagement_Register!$AP$13,0),0)</f>
        <v>0</v>
      </c>
    </row>
    <row r="148" customFormat="false" ht="15" hidden="false" customHeight="false" outlineLevel="0" collapsed="false">
      <c r="A148" s="23" t="s">
        <v>873</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row>
    <row r="149" customFormat="false" ht="15" hidden="false" customHeight="false" outlineLevel="0" collapsed="false">
      <c r="A149" s="29" t="s">
        <v>736</v>
      </c>
      <c r="B149" s="60" t="s">
        <v>832</v>
      </c>
      <c r="C149" s="66" t="n">
        <f aca="false">P149</f>
        <v>2875.4</v>
      </c>
      <c r="D149" s="66" t="n">
        <f aca="false">AB149</f>
        <v>2875.4</v>
      </c>
      <c r="E149" s="67" t="n">
        <f aca="false">Engagement_Register!$T$14+E16</f>
        <v>0</v>
      </c>
      <c r="F149" s="72" t="n">
        <f aca="false">E149+F16</f>
        <v>298.4</v>
      </c>
      <c r="G149" s="72" t="n">
        <f aca="false">F149+G16</f>
        <v>644</v>
      </c>
      <c r="H149" s="72" t="n">
        <f aca="false">G149+H16</f>
        <v>943.6</v>
      </c>
      <c r="I149" s="72" t="n">
        <f aca="false">H149+I16</f>
        <v>1206.8</v>
      </c>
      <c r="J149" s="72" t="n">
        <f aca="false">I149+J16</f>
        <v>1535</v>
      </c>
      <c r="K149" s="72" t="n">
        <f aca="false">J149+K16</f>
        <v>1911.7</v>
      </c>
      <c r="L149" s="72" t="n">
        <f aca="false">K149+L16</f>
        <v>2189.7</v>
      </c>
      <c r="M149" s="72" t="n">
        <f aca="false">L149+M16</f>
        <v>2538.94986666667</v>
      </c>
      <c r="N149" s="72" t="n">
        <f aca="false">M149+N16</f>
        <v>2875.4</v>
      </c>
      <c r="O149" s="72" t="n">
        <f aca="false">N149+O16</f>
        <v>2875.4</v>
      </c>
      <c r="P149" s="72" t="n">
        <f aca="false">O149+P16</f>
        <v>2875.4</v>
      </c>
      <c r="Q149" s="72" t="n">
        <f aca="false">P149+Q16</f>
        <v>2875.4</v>
      </c>
      <c r="R149" s="72" t="n">
        <f aca="false">Q149+R16</f>
        <v>2875.4</v>
      </c>
      <c r="S149" s="72" t="n">
        <f aca="false">R149+S16</f>
        <v>2875.4</v>
      </c>
      <c r="T149" s="72" t="n">
        <f aca="false">S149+T16</f>
        <v>2875.4</v>
      </c>
      <c r="U149" s="72" t="n">
        <f aca="false">T149+U16</f>
        <v>2875.4</v>
      </c>
      <c r="V149" s="72" t="n">
        <f aca="false">U149+V16</f>
        <v>2875.4</v>
      </c>
      <c r="W149" s="72" t="n">
        <f aca="false">V149+W16</f>
        <v>2875.4</v>
      </c>
      <c r="X149" s="72" t="n">
        <f aca="false">W149+X16</f>
        <v>2875.4</v>
      </c>
      <c r="Y149" s="72" t="n">
        <f aca="false">X149+Y16</f>
        <v>2875.4</v>
      </c>
      <c r="Z149" s="72" t="n">
        <f aca="false">Y149+Z16</f>
        <v>2875.4</v>
      </c>
      <c r="AA149" s="72" t="n">
        <f aca="false">Z149+AA16</f>
        <v>2875.4</v>
      </c>
      <c r="AB149" s="72" t="n">
        <f aca="false">AA149+AB16</f>
        <v>2875.4</v>
      </c>
    </row>
    <row r="150" customFormat="false" ht="15" hidden="false" customHeight="false" outlineLevel="0" collapsed="false">
      <c r="A150" s="29" t="s">
        <v>833</v>
      </c>
      <c r="B150" s="60" t="s">
        <v>834</v>
      </c>
      <c r="C150" s="61" t="n">
        <f aca="false">SUM(E150:P150)</f>
        <v>565591.18</v>
      </c>
      <c r="D150" s="61" t="n">
        <f aca="false">SUM(Q150:AB150)</f>
        <v>0</v>
      </c>
      <c r="E150" s="62" t="n">
        <f aca="false">E16*Engagement_Register!$AD$14*Assumptions!E$194</f>
        <v>0</v>
      </c>
      <c r="F150" s="62" t="n">
        <f aca="false">F16*Engagement_Register!$AD$14*Assumptions!F$194</f>
        <v>58695.28</v>
      </c>
      <c r="G150" s="62" t="n">
        <f aca="false">G16*Engagement_Register!$AD$14*Assumptions!G$194</f>
        <v>67979.52</v>
      </c>
      <c r="H150" s="62" t="n">
        <f aca="false">H16*Engagement_Register!$AD$14*Assumptions!H$194</f>
        <v>58931.32</v>
      </c>
      <c r="I150" s="62" t="n">
        <f aca="false">I16*Engagement_Register!$AD$14*Assumptions!I$194</f>
        <v>51771.44</v>
      </c>
      <c r="J150" s="62" t="n">
        <f aca="false">J16*Engagement_Register!$AD$14*Assumptions!J$194</f>
        <v>64556.94</v>
      </c>
      <c r="K150" s="62" t="n">
        <f aca="false">K16*Engagement_Register!$AD$14*Assumptions!K$194</f>
        <v>74096.89</v>
      </c>
      <c r="L150" s="62" t="n">
        <f aca="false">L16*Engagement_Register!$AD$14*Assumptions!L$194</f>
        <v>54682.6</v>
      </c>
      <c r="M150" s="62" t="n">
        <f aca="false">M16*Engagement_Register!$AD$14*Assumptions!M$194</f>
        <v>68697.4487733333</v>
      </c>
      <c r="N150" s="62" t="n">
        <f aca="false">N16*Engagement_Register!$AD$14*Assumptions!N$194</f>
        <v>66179.7412266667</v>
      </c>
      <c r="O150" s="62" t="n">
        <f aca="false">O16*Engagement_Register!$AD$14*Assumptions!O$194</f>
        <v>0</v>
      </c>
      <c r="P150" s="62" t="n">
        <f aca="false">P16*Engagement_Register!$AD$14*Assumptions!P$194</f>
        <v>0</v>
      </c>
      <c r="Q150" s="62" t="n">
        <f aca="false">Q16*Engagement_Register!$AD$14*Assumptions!Q$194</f>
        <v>0</v>
      </c>
      <c r="R150" s="62" t="n">
        <f aca="false">R16*Engagement_Register!$AD$14*Assumptions!R$194</f>
        <v>0</v>
      </c>
      <c r="S150" s="62" t="n">
        <f aca="false">S16*Engagement_Register!$AD$14*Assumptions!S$194</f>
        <v>0</v>
      </c>
      <c r="T150" s="62" t="n">
        <f aca="false">T16*Engagement_Register!$AD$14*Assumptions!T$194</f>
        <v>0</v>
      </c>
      <c r="U150" s="62" t="n">
        <f aca="false">U16*Engagement_Register!$AD$14*Assumptions!U$194</f>
        <v>0</v>
      </c>
      <c r="V150" s="62" t="n">
        <f aca="false">V16*Engagement_Register!$AD$14*Assumptions!V$194</f>
        <v>0</v>
      </c>
      <c r="W150" s="62" t="n">
        <f aca="false">W16*Engagement_Register!$AD$14*Assumptions!W$194</f>
        <v>0</v>
      </c>
      <c r="X150" s="62" t="n">
        <f aca="false">X16*Engagement_Register!$AD$14*Assumptions!X$194</f>
        <v>0</v>
      </c>
      <c r="Y150" s="62" t="n">
        <f aca="false">Y16*Engagement_Register!$AD$14*Assumptions!Y$194</f>
        <v>0</v>
      </c>
      <c r="Z150" s="62" t="n">
        <f aca="false">Z16*Engagement_Register!$AD$14*Assumptions!Z$194</f>
        <v>0</v>
      </c>
      <c r="AA150" s="62" t="n">
        <f aca="false">AA16*Engagement_Register!$AD$14*Assumptions!AA$194</f>
        <v>0</v>
      </c>
      <c r="AB150" s="62" t="n">
        <f aca="false">AB16*Engagement_Register!$AD$14*Assumptions!AB$194</f>
        <v>0</v>
      </c>
    </row>
    <row r="151" customFormat="false" ht="15" hidden="false" customHeight="false" outlineLevel="0" collapsed="false">
      <c r="A151" s="29" t="s">
        <v>835</v>
      </c>
      <c r="B151" s="60" t="s">
        <v>836</v>
      </c>
      <c r="C151" s="61" t="n">
        <f aca="false">SUM(E151:P151)</f>
        <v>537311.621</v>
      </c>
      <c r="D151" s="61" t="n">
        <f aca="false">SUM(Q151:AB151)</f>
        <v>0</v>
      </c>
      <c r="E151" s="62" t="n">
        <f aca="false">E16*Engagement_Register!$AE$14*Assumptions!E$194</f>
        <v>0</v>
      </c>
      <c r="F151" s="62" t="n">
        <f aca="false">F16*Engagement_Register!$AE$14*Assumptions!F$194</f>
        <v>55760.516</v>
      </c>
      <c r="G151" s="62" t="n">
        <f aca="false">G16*Engagement_Register!$AE$14*Assumptions!G$194</f>
        <v>64580.544</v>
      </c>
      <c r="H151" s="62" t="n">
        <f aca="false">H16*Engagement_Register!$AE$14*Assumptions!H$194</f>
        <v>55984.754</v>
      </c>
      <c r="I151" s="62" t="n">
        <f aca="false">I16*Engagement_Register!$AE$14*Assumptions!I$194</f>
        <v>49182.868</v>
      </c>
      <c r="J151" s="62" t="n">
        <f aca="false">J16*Engagement_Register!$AE$14*Assumptions!J$194</f>
        <v>61329.093</v>
      </c>
      <c r="K151" s="62" t="n">
        <f aca="false">K16*Engagement_Register!$AE$14*Assumptions!K$194</f>
        <v>70392.0455</v>
      </c>
      <c r="L151" s="62" t="n">
        <f aca="false">L16*Engagement_Register!$AE$14*Assumptions!L$194</f>
        <v>51948.47</v>
      </c>
      <c r="M151" s="62" t="n">
        <f aca="false">M16*Engagement_Register!$AE$14*Assumptions!M$194</f>
        <v>65262.5763346667</v>
      </c>
      <c r="N151" s="62" t="n">
        <f aca="false">N16*Engagement_Register!$AE$14*Assumptions!N$194</f>
        <v>62870.7541653333</v>
      </c>
      <c r="O151" s="62" t="n">
        <f aca="false">O16*Engagement_Register!$AE$14*Assumptions!O$194</f>
        <v>0</v>
      </c>
      <c r="P151" s="62" t="n">
        <f aca="false">P16*Engagement_Register!$AE$14*Assumptions!P$194</f>
        <v>0</v>
      </c>
      <c r="Q151" s="62" t="n">
        <f aca="false">Q16*Engagement_Register!$AE$14*Assumptions!Q$194</f>
        <v>0</v>
      </c>
      <c r="R151" s="62" t="n">
        <f aca="false">R16*Engagement_Register!$AE$14*Assumptions!R$194</f>
        <v>0</v>
      </c>
      <c r="S151" s="62" t="n">
        <f aca="false">S16*Engagement_Register!$AE$14*Assumptions!S$194</f>
        <v>0</v>
      </c>
      <c r="T151" s="62" t="n">
        <f aca="false">T16*Engagement_Register!$AE$14*Assumptions!T$194</f>
        <v>0</v>
      </c>
      <c r="U151" s="62" t="n">
        <f aca="false">U16*Engagement_Register!$AE$14*Assumptions!U$194</f>
        <v>0</v>
      </c>
      <c r="V151" s="62" t="n">
        <f aca="false">V16*Engagement_Register!$AE$14*Assumptions!V$194</f>
        <v>0</v>
      </c>
      <c r="W151" s="62" t="n">
        <f aca="false">W16*Engagement_Register!$AE$14*Assumptions!W$194</f>
        <v>0</v>
      </c>
      <c r="X151" s="62" t="n">
        <f aca="false">X16*Engagement_Register!$AE$14*Assumptions!X$194</f>
        <v>0</v>
      </c>
      <c r="Y151" s="62" t="n">
        <f aca="false">Y16*Engagement_Register!$AE$14*Assumptions!Y$194</f>
        <v>0</v>
      </c>
      <c r="Z151" s="62" t="n">
        <f aca="false">Z16*Engagement_Register!$AE$14*Assumptions!Z$194</f>
        <v>0</v>
      </c>
      <c r="AA151" s="62" t="n">
        <f aca="false">AA16*Engagement_Register!$AE$14*Assumptions!AA$194</f>
        <v>0</v>
      </c>
      <c r="AB151" s="62" t="n">
        <f aca="false">AB16*Engagement_Register!$AE$14*Assumptions!AB$194</f>
        <v>0</v>
      </c>
    </row>
    <row r="152" customFormat="false" ht="15" hidden="false" customHeight="false" outlineLevel="0" collapsed="false">
      <c r="A152" s="68" t="s">
        <v>349</v>
      </c>
      <c r="B152" s="69" t="s">
        <v>837</v>
      </c>
      <c r="C152" s="70" t="n">
        <f aca="false">SUM(E152:P152)</f>
        <v>525901.543794146</v>
      </c>
      <c r="D152" s="70" t="n">
        <f aca="false">SUM(Q152:AB152)</f>
        <v>0</v>
      </c>
      <c r="E152" s="74" t="n">
        <f aca="false">IF(E$5="A",Inputs_Actuals!E50,E151*(1-Engagement_Register!$AS$14))</f>
        <v>0</v>
      </c>
      <c r="F152" s="74" t="n">
        <f aca="false">IF(F$5="A",Inputs_Actuals!F50,F151*(1-Engagement_Register!$AS$14))</f>
        <v>54401.79</v>
      </c>
      <c r="G152" s="74" t="n">
        <f aca="false">IF(G$5="A",Inputs_Actuals!G50,G151*(1-Engagement_Register!$AS$14))</f>
        <v>63303.29</v>
      </c>
      <c r="H152" s="74" t="n">
        <f aca="false">IF(H$5="A",Inputs_Actuals!H50,H151*(1-Engagement_Register!$AS$14))</f>
        <v>55130.06</v>
      </c>
      <c r="I152" s="74" t="n">
        <f aca="false">IF(I$5="A",Inputs_Actuals!I50,I151*(1-Engagement_Register!$AS$14))</f>
        <v>48134.69</v>
      </c>
      <c r="J152" s="74" t="n">
        <f aca="false">IF(J$5="A",Inputs_Actuals!J50,J151*(1-Engagement_Register!$AS$14))</f>
        <v>59456.54</v>
      </c>
      <c r="K152" s="74" t="n">
        <f aca="false">IF(K$5="A",Inputs_Actuals!K50,K151*(1-Engagement_Register!$AS$14))</f>
        <v>69476.27</v>
      </c>
      <c r="L152" s="74" t="n">
        <f aca="false">IF(L$5="A",Inputs_Actuals!L50,L151*(1-Engagement_Register!$AS$14))</f>
        <v>51562.32</v>
      </c>
      <c r="M152" s="74" t="n">
        <f aca="false">IF(M$5="A",Inputs_Actuals!M50,M151*(1-Engagement_Register!$AS$14))</f>
        <v>63379.700012485</v>
      </c>
      <c r="N152" s="74" t="n">
        <f aca="false">IF(N$5="A",Inputs_Actuals!N50,N151*(1-Engagement_Register!$AS$14))</f>
        <v>61056.883781661</v>
      </c>
      <c r="O152" s="74" t="n">
        <f aca="false">IF(O$5="A",Inputs_Actuals!O50,O151*(1-Engagement_Register!$AS$14))</f>
        <v>0</v>
      </c>
      <c r="P152" s="74" t="n">
        <f aca="false">IF(P$5="A",Inputs_Actuals!P50,P151*(1-Engagement_Register!$AS$14))</f>
        <v>0</v>
      </c>
      <c r="Q152" s="74" t="n">
        <f aca="false">IF(Q$5="A",Inputs_Actuals!Q50,Q151*(1-Engagement_Register!$AS$14))</f>
        <v>0</v>
      </c>
      <c r="R152" s="74" t="n">
        <f aca="false">IF(R$5="A",Inputs_Actuals!R50,R151*(1-Engagement_Register!$AS$14))</f>
        <v>0</v>
      </c>
      <c r="S152" s="74" t="n">
        <f aca="false">IF(S$5="A",Inputs_Actuals!S50,S151*(1-Engagement_Register!$AS$14))</f>
        <v>0</v>
      </c>
      <c r="T152" s="74" t="n">
        <f aca="false">IF(T$5="A",Inputs_Actuals!T50,T151*(1-Engagement_Register!$AS$14))</f>
        <v>0</v>
      </c>
      <c r="U152" s="74" t="n">
        <f aca="false">IF(U$5="A",Inputs_Actuals!U50,U151*(1-Engagement_Register!$AS$14))</f>
        <v>0</v>
      </c>
      <c r="V152" s="74" t="n">
        <f aca="false">IF(V$5="A",Inputs_Actuals!V50,V151*(1-Engagement_Register!$AS$14))</f>
        <v>0</v>
      </c>
      <c r="W152" s="74" t="n">
        <f aca="false">IF(W$5="A",Inputs_Actuals!W50,W151*(1-Engagement_Register!$AS$14))</f>
        <v>0</v>
      </c>
      <c r="X152" s="74" t="n">
        <f aca="false">IF(X$5="A",Inputs_Actuals!X50,X151*(1-Engagement_Register!$AS$14))</f>
        <v>0</v>
      </c>
      <c r="Y152" s="74" t="n">
        <f aca="false">IF(Y$5="A",Inputs_Actuals!Y50,Y151*(1-Engagement_Register!$AS$14))</f>
        <v>0</v>
      </c>
      <c r="Z152" s="74" t="n">
        <f aca="false">IF(Z$5="A",Inputs_Actuals!Z50,Z151*(1-Engagement_Register!$AS$14))</f>
        <v>0</v>
      </c>
      <c r="AA152" s="74" t="n">
        <f aca="false">IF(AA$5="A",Inputs_Actuals!AA50,AA151*(1-Engagement_Register!$AS$14))</f>
        <v>0</v>
      </c>
      <c r="AB152" s="74" t="n">
        <f aca="false">IF(AB$5="A",Inputs_Actuals!AB50,AB151*(1-Engagement_Register!$AS$14))</f>
        <v>0</v>
      </c>
    </row>
    <row r="153" customFormat="false" ht="15" hidden="false" customHeight="false" outlineLevel="0" collapsed="false">
      <c r="A153" s="29" t="s">
        <v>838</v>
      </c>
      <c r="B153" s="60" t="s">
        <v>839</v>
      </c>
      <c r="C153" s="61" t="n">
        <f aca="false">SUM(E153:P153)</f>
        <v>525901.543794146</v>
      </c>
      <c r="D153" s="61" t="n">
        <f aca="false">SUM(Q153:AB153)</f>
        <v>0</v>
      </c>
      <c r="E153" s="62" t="n">
        <f aca="false">IF(E$5="A",Inputs_Actuals!E51,0)</f>
        <v>0</v>
      </c>
      <c r="F153" s="62" t="n">
        <f aca="false">IF(F$5="A",Inputs_Actuals!F51,E152)</f>
        <v>0</v>
      </c>
      <c r="G153" s="62" t="n">
        <f aca="false">IF(G$5="A",Inputs_Actuals!G51,F152)</f>
        <v>54401.79</v>
      </c>
      <c r="H153" s="62" t="n">
        <f aca="false">IF(H$5="A",Inputs_Actuals!H51,G152)</f>
        <v>63303.29</v>
      </c>
      <c r="I153" s="62" t="n">
        <f aca="false">IF(I$5="A",Inputs_Actuals!I51,H152)</f>
        <v>55130.06</v>
      </c>
      <c r="J153" s="62" t="n">
        <f aca="false">IF(J$5="A",Inputs_Actuals!J51,I152)</f>
        <v>48134.69</v>
      </c>
      <c r="K153" s="62" t="n">
        <f aca="false">IF(K$5="A",Inputs_Actuals!K51,J152)</f>
        <v>59456.54</v>
      </c>
      <c r="L153" s="62" t="n">
        <f aca="false">IF(L$5="A",Inputs_Actuals!L51,K152)</f>
        <v>69476.27</v>
      </c>
      <c r="M153" s="62" t="n">
        <f aca="false">IF(M$5="A",Inputs_Actuals!M51,L152)</f>
        <v>51562.32</v>
      </c>
      <c r="N153" s="62" t="n">
        <f aca="false">IF(N$5="A",Inputs_Actuals!N51,M152)</f>
        <v>63379.700012485</v>
      </c>
      <c r="O153" s="62" t="n">
        <f aca="false">IF(O$5="A",Inputs_Actuals!O51,N152)</f>
        <v>61056.883781661</v>
      </c>
      <c r="P153" s="62" t="n">
        <f aca="false">IF(P$5="A",Inputs_Actuals!P51,O152)</f>
        <v>0</v>
      </c>
      <c r="Q153" s="62" t="n">
        <f aca="false">IF(Q$5="A",Inputs_Actuals!Q51,P152)</f>
        <v>0</v>
      </c>
      <c r="R153" s="62" t="n">
        <f aca="false">IF(R$5="A",Inputs_Actuals!R51,Q152)</f>
        <v>0</v>
      </c>
      <c r="S153" s="62" t="n">
        <f aca="false">IF(S$5="A",Inputs_Actuals!S51,R152)</f>
        <v>0</v>
      </c>
      <c r="T153" s="62" t="n">
        <f aca="false">IF(T$5="A",Inputs_Actuals!T51,S152)</f>
        <v>0</v>
      </c>
      <c r="U153" s="62" t="n">
        <f aca="false">IF(U$5="A",Inputs_Actuals!U51,T152)</f>
        <v>0</v>
      </c>
      <c r="V153" s="62" t="n">
        <f aca="false">IF(V$5="A",Inputs_Actuals!V51,U152)</f>
        <v>0</v>
      </c>
      <c r="W153" s="62" t="n">
        <f aca="false">IF(W$5="A",Inputs_Actuals!W51,V152)</f>
        <v>0</v>
      </c>
      <c r="X153" s="62" t="n">
        <f aca="false">IF(X$5="A",Inputs_Actuals!X51,W152)</f>
        <v>0</v>
      </c>
      <c r="Y153" s="62" t="n">
        <f aca="false">IF(Y$5="A",Inputs_Actuals!Y51,X152)</f>
        <v>0</v>
      </c>
      <c r="Z153" s="62" t="n">
        <f aca="false">IF(Z$5="A",Inputs_Actuals!Z51,Y152)</f>
        <v>0</v>
      </c>
      <c r="AA153" s="62" t="n">
        <f aca="false">IF(AA$5="A",Inputs_Actuals!AA51,Z152)</f>
        <v>0</v>
      </c>
      <c r="AB153" s="62" t="n">
        <f aca="false">IF(AB$5="A",Inputs_Actuals!AB51,AA152)</f>
        <v>0</v>
      </c>
    </row>
    <row r="154" customFormat="false" ht="15" hidden="false" customHeight="false" outlineLevel="0" collapsed="false">
      <c r="A154" s="29" t="s">
        <v>840</v>
      </c>
      <c r="B154" s="60"/>
      <c r="C154" s="61" t="n">
        <f aca="false">P154</f>
        <v>525901.543794146</v>
      </c>
      <c r="D154" s="61" t="n">
        <f aca="false">AB154</f>
        <v>525901.543794146</v>
      </c>
      <c r="E154" s="62" t="n">
        <f aca="false">Engagement_Register!$V$14+E153</f>
        <v>0</v>
      </c>
      <c r="F154" s="71" t="n">
        <f aca="false">E154+F153</f>
        <v>0</v>
      </c>
      <c r="G154" s="71" t="n">
        <f aca="false">F154+G153</f>
        <v>54401.79</v>
      </c>
      <c r="H154" s="71" t="n">
        <f aca="false">G154+H153</f>
        <v>117705.08</v>
      </c>
      <c r="I154" s="71" t="n">
        <f aca="false">H154+I153</f>
        <v>172835.14</v>
      </c>
      <c r="J154" s="71" t="n">
        <f aca="false">I154+J153</f>
        <v>220969.83</v>
      </c>
      <c r="K154" s="71" t="n">
        <f aca="false">J154+K153</f>
        <v>280426.37</v>
      </c>
      <c r="L154" s="71" t="n">
        <f aca="false">K154+L153</f>
        <v>349902.64</v>
      </c>
      <c r="M154" s="71" t="n">
        <f aca="false">L154+M153</f>
        <v>401464.96</v>
      </c>
      <c r="N154" s="71" t="n">
        <f aca="false">M154+N153</f>
        <v>464844.660012485</v>
      </c>
      <c r="O154" s="71" t="n">
        <f aca="false">N154+O153</f>
        <v>525901.543794146</v>
      </c>
      <c r="P154" s="71" t="n">
        <f aca="false">O154+P153</f>
        <v>525901.543794146</v>
      </c>
      <c r="Q154" s="71" t="n">
        <f aca="false">P154+Q153</f>
        <v>525901.543794146</v>
      </c>
      <c r="R154" s="71" t="n">
        <f aca="false">Q154+R153</f>
        <v>525901.543794146</v>
      </c>
      <c r="S154" s="71" t="n">
        <f aca="false">R154+S153</f>
        <v>525901.543794146</v>
      </c>
      <c r="T154" s="71" t="n">
        <f aca="false">S154+T153</f>
        <v>525901.543794146</v>
      </c>
      <c r="U154" s="71" t="n">
        <f aca="false">T154+U153</f>
        <v>525901.543794146</v>
      </c>
      <c r="V154" s="71" t="n">
        <f aca="false">U154+V153</f>
        <v>525901.543794146</v>
      </c>
      <c r="W154" s="71" t="n">
        <f aca="false">V154+W153</f>
        <v>525901.543794146</v>
      </c>
      <c r="X154" s="71" t="n">
        <f aca="false">W154+X153</f>
        <v>525901.543794146</v>
      </c>
      <c r="Y154" s="71" t="n">
        <f aca="false">X154+Y153</f>
        <v>525901.543794146</v>
      </c>
      <c r="Z154" s="71" t="n">
        <f aca="false">Y154+Z153</f>
        <v>525901.543794146</v>
      </c>
      <c r="AA154" s="71" t="n">
        <f aca="false">Z154+AA153</f>
        <v>525901.543794146</v>
      </c>
      <c r="AB154" s="71" t="n">
        <f aca="false">AA154+AB153</f>
        <v>525901.543794146</v>
      </c>
    </row>
    <row r="155" customFormat="false" ht="15" hidden="false" customHeight="false" outlineLevel="0" collapsed="false">
      <c r="A155" s="29" t="s">
        <v>841</v>
      </c>
      <c r="B155" s="60" t="s">
        <v>842</v>
      </c>
      <c r="C155" s="61" t="n">
        <f aca="false">SUM(E155:P155)</f>
        <v>61873.75</v>
      </c>
      <c r="D155" s="61" t="n">
        <f aca="false">SUM(Q155:AB155)</f>
        <v>0</v>
      </c>
      <c r="E155" s="62" t="n">
        <f aca="false">IF(E$5="A",Inputs_Actuals!E52,E16*Engagement_Register!$N$14*Assumptions!E$195)</f>
        <v>0</v>
      </c>
      <c r="F155" s="62" t="n">
        <f aca="false">IF(F$5="A",Inputs_Actuals!F52,F16*Engagement_Register!$N$14*Assumptions!F$195)</f>
        <v>7535.4</v>
      </c>
      <c r="G155" s="62" t="n">
        <f aca="false">IF(G$5="A",Inputs_Actuals!G52,G16*Engagement_Register!$N$14*Assumptions!G$195)</f>
        <v>6323.98</v>
      </c>
      <c r="H155" s="62" t="n">
        <f aca="false">IF(H$5="A",Inputs_Actuals!H52,H16*Engagement_Register!$N$14*Assumptions!H$195)</f>
        <v>5221.12</v>
      </c>
      <c r="I155" s="62" t="n">
        <f aca="false">IF(I$5="A",Inputs_Actuals!I52,I16*Engagement_Register!$N$14*Assumptions!I$195)</f>
        <v>5060.38</v>
      </c>
      <c r="J155" s="62" t="n">
        <f aca="false">IF(J$5="A",Inputs_Actuals!J52,J16*Engagement_Register!$N$14*Assumptions!J$195)</f>
        <v>8359.72</v>
      </c>
      <c r="K155" s="62" t="n">
        <f aca="false">IF(K$5="A",Inputs_Actuals!K52,K16*Engagement_Register!$N$14*Assumptions!K$195)</f>
        <v>7190.01</v>
      </c>
      <c r="L155" s="62" t="n">
        <f aca="false">IF(L$5="A",Inputs_Actuals!L52,L16*Engagement_Register!$N$14*Assumptions!L$195)</f>
        <v>7097.74</v>
      </c>
      <c r="M155" s="62" t="n">
        <f aca="false">IF(M$5="A",Inputs_Actuals!M52,M16*Engagement_Register!$N$14*Assumptions!M$195)</f>
        <v>7683.49706666667</v>
      </c>
      <c r="N155" s="62" t="n">
        <f aca="false">IF(N$5="A",Inputs_Actuals!N52,N16*Engagement_Register!$N$14*Assumptions!N$195)</f>
        <v>7401.90293333333</v>
      </c>
      <c r="O155" s="62" t="n">
        <f aca="false">IF(O$5="A",Inputs_Actuals!O52,O16*Engagement_Register!$N$14*Assumptions!O$195)</f>
        <v>0</v>
      </c>
      <c r="P155" s="62" t="n">
        <f aca="false">IF(P$5="A",Inputs_Actuals!P52,P16*Engagement_Register!$N$14*Assumptions!P$195)</f>
        <v>0</v>
      </c>
      <c r="Q155" s="62" t="n">
        <f aca="false">IF(Q$5="A",Inputs_Actuals!Q52,Q16*Engagement_Register!$N$14*Assumptions!Q$195)</f>
        <v>0</v>
      </c>
      <c r="R155" s="62" t="n">
        <f aca="false">IF(R$5="A",Inputs_Actuals!R52,R16*Engagement_Register!$N$14*Assumptions!R$195)</f>
        <v>0</v>
      </c>
      <c r="S155" s="62" t="n">
        <f aca="false">IF(S$5="A",Inputs_Actuals!S52,S16*Engagement_Register!$N$14*Assumptions!S$195)</f>
        <v>0</v>
      </c>
      <c r="T155" s="62" t="n">
        <f aca="false">IF(T$5="A",Inputs_Actuals!T52,T16*Engagement_Register!$N$14*Assumptions!T$195)</f>
        <v>0</v>
      </c>
      <c r="U155" s="62" t="n">
        <f aca="false">IF(U$5="A",Inputs_Actuals!U52,U16*Engagement_Register!$N$14*Assumptions!U$195)</f>
        <v>0</v>
      </c>
      <c r="V155" s="62" t="n">
        <f aca="false">IF(V$5="A",Inputs_Actuals!V52,V16*Engagement_Register!$N$14*Assumptions!V$195)</f>
        <v>0</v>
      </c>
      <c r="W155" s="62" t="n">
        <f aca="false">IF(W$5="A",Inputs_Actuals!W52,W16*Engagement_Register!$N$14*Assumptions!W$195)</f>
        <v>0</v>
      </c>
      <c r="X155" s="62" t="n">
        <f aca="false">IF(X$5="A",Inputs_Actuals!X52,X16*Engagement_Register!$N$14*Assumptions!X$195)</f>
        <v>0</v>
      </c>
      <c r="Y155" s="62" t="n">
        <f aca="false">IF(Y$5="A",Inputs_Actuals!Y52,Y16*Engagement_Register!$N$14*Assumptions!Y$195)</f>
        <v>0</v>
      </c>
      <c r="Z155" s="62" t="n">
        <f aca="false">IF(Z$5="A",Inputs_Actuals!Z52,Z16*Engagement_Register!$N$14*Assumptions!Z$195)</f>
        <v>0</v>
      </c>
      <c r="AA155" s="62" t="n">
        <f aca="false">IF(AA$5="A",Inputs_Actuals!AA52,AA16*Engagement_Register!$N$14*Assumptions!AA$195)</f>
        <v>0</v>
      </c>
      <c r="AB155" s="62" t="n">
        <f aca="false">IF(AB$5="A",Inputs_Actuals!AB52,AB16*Engagement_Register!$N$14*Assumptions!AB$195)</f>
        <v>0</v>
      </c>
    </row>
    <row r="156" customFormat="false" ht="15" hidden="false" customHeight="false" outlineLevel="0" collapsed="false">
      <c r="A156" s="29" t="s">
        <v>843</v>
      </c>
      <c r="B156" s="60" t="s">
        <v>844</v>
      </c>
      <c r="C156" s="61" t="n">
        <f aca="false">SUM(E156:P156)</f>
        <v>61873.75</v>
      </c>
      <c r="D156" s="61" t="n">
        <f aca="false">SUM(Q156:AB156)</f>
        <v>0</v>
      </c>
      <c r="E156" s="71" t="n">
        <f aca="false">E155</f>
        <v>0</v>
      </c>
      <c r="F156" s="71" t="n">
        <f aca="false">F155</f>
        <v>7535.4</v>
      </c>
      <c r="G156" s="71" t="n">
        <f aca="false">G155</f>
        <v>6323.98</v>
      </c>
      <c r="H156" s="71" t="n">
        <f aca="false">H155</f>
        <v>5221.12</v>
      </c>
      <c r="I156" s="71" t="n">
        <f aca="false">I155</f>
        <v>5060.38</v>
      </c>
      <c r="J156" s="71" t="n">
        <f aca="false">J155</f>
        <v>8359.72</v>
      </c>
      <c r="K156" s="71" t="n">
        <f aca="false">K155</f>
        <v>7190.01</v>
      </c>
      <c r="L156" s="71" t="n">
        <f aca="false">L155</f>
        <v>7097.74</v>
      </c>
      <c r="M156" s="71" t="n">
        <f aca="false">M155</f>
        <v>7683.49706666667</v>
      </c>
      <c r="N156" s="71" t="n">
        <f aca="false">N155</f>
        <v>7401.90293333333</v>
      </c>
      <c r="O156" s="71" t="n">
        <f aca="false">O155</f>
        <v>0</v>
      </c>
      <c r="P156" s="71" t="n">
        <f aca="false">P155</f>
        <v>0</v>
      </c>
      <c r="Q156" s="71" t="n">
        <f aca="false">Q155</f>
        <v>0</v>
      </c>
      <c r="R156" s="71" t="n">
        <f aca="false">R155</f>
        <v>0</v>
      </c>
      <c r="S156" s="71" t="n">
        <f aca="false">S155</f>
        <v>0</v>
      </c>
      <c r="T156" s="71" t="n">
        <f aca="false">T155</f>
        <v>0</v>
      </c>
      <c r="U156" s="71" t="n">
        <f aca="false">U155</f>
        <v>0</v>
      </c>
      <c r="V156" s="71" t="n">
        <f aca="false">V155</f>
        <v>0</v>
      </c>
      <c r="W156" s="71" t="n">
        <f aca="false">W155</f>
        <v>0</v>
      </c>
      <c r="X156" s="71" t="n">
        <f aca="false">X155</f>
        <v>0</v>
      </c>
      <c r="Y156" s="71" t="n">
        <f aca="false">Y155</f>
        <v>0</v>
      </c>
      <c r="Z156" s="71" t="n">
        <f aca="false">Z155</f>
        <v>0</v>
      </c>
      <c r="AA156" s="71" t="n">
        <f aca="false">AA155</f>
        <v>0</v>
      </c>
      <c r="AB156" s="71" t="n">
        <f aca="false">AB155</f>
        <v>0</v>
      </c>
    </row>
    <row r="157" customFormat="false" ht="15" hidden="false" customHeight="false" outlineLevel="0" collapsed="false">
      <c r="A157" s="29" t="s">
        <v>845</v>
      </c>
      <c r="B157" s="60" t="s">
        <v>846</v>
      </c>
      <c r="C157" s="61" t="n">
        <f aca="false">SUM(E157:P157)</f>
        <v>61873.75</v>
      </c>
      <c r="D157" s="61" t="n">
        <f aca="false">SUM(Q157:AB157)</f>
        <v>0</v>
      </c>
      <c r="E157" s="62" t="n">
        <f aca="false">IF(E$5="A",Inputs_Actuals!E53,0)</f>
        <v>0</v>
      </c>
      <c r="F157" s="62" t="n">
        <f aca="false">IF(F$5="A",Inputs_Actuals!F53,E156)</f>
        <v>0</v>
      </c>
      <c r="G157" s="62" t="n">
        <f aca="false">IF(G$5="A",Inputs_Actuals!G53,F156)</f>
        <v>7535.4</v>
      </c>
      <c r="H157" s="62" t="n">
        <f aca="false">IF(H$5="A",Inputs_Actuals!H53,G156)</f>
        <v>6323.98</v>
      </c>
      <c r="I157" s="62" t="n">
        <f aca="false">IF(I$5="A",Inputs_Actuals!I53,H156)</f>
        <v>5221.12</v>
      </c>
      <c r="J157" s="62" t="n">
        <f aca="false">IF(J$5="A",Inputs_Actuals!J53,I156)</f>
        <v>5060.38</v>
      </c>
      <c r="K157" s="62" t="n">
        <f aca="false">IF(K$5="A",Inputs_Actuals!K53,J156)</f>
        <v>8359.72</v>
      </c>
      <c r="L157" s="62" t="n">
        <f aca="false">IF(L$5="A",Inputs_Actuals!L53,K156)</f>
        <v>7190.01</v>
      </c>
      <c r="M157" s="62" t="n">
        <f aca="false">IF(M$5="A",Inputs_Actuals!M53,L156)</f>
        <v>7097.74</v>
      </c>
      <c r="N157" s="62" t="n">
        <f aca="false">IF(N$5="A",Inputs_Actuals!N53,M156)</f>
        <v>7683.49706666667</v>
      </c>
      <c r="O157" s="62" t="n">
        <f aca="false">IF(O$5="A",Inputs_Actuals!O53,N156)</f>
        <v>7401.90293333333</v>
      </c>
      <c r="P157" s="62" t="n">
        <f aca="false">IF(P$5="A",Inputs_Actuals!P53,O156)</f>
        <v>0</v>
      </c>
      <c r="Q157" s="62" t="n">
        <f aca="false">IF(Q$5="A",Inputs_Actuals!Q53,P156)</f>
        <v>0</v>
      </c>
      <c r="R157" s="62" t="n">
        <f aca="false">IF(R$5="A",Inputs_Actuals!R53,Q156)</f>
        <v>0</v>
      </c>
      <c r="S157" s="62" t="n">
        <f aca="false">IF(S$5="A",Inputs_Actuals!S53,R156)</f>
        <v>0</v>
      </c>
      <c r="T157" s="62" t="n">
        <f aca="false">IF(T$5="A",Inputs_Actuals!T53,S156)</f>
        <v>0</v>
      </c>
      <c r="U157" s="62" t="n">
        <f aca="false">IF(U$5="A",Inputs_Actuals!U53,T156)</f>
        <v>0</v>
      </c>
      <c r="V157" s="62" t="n">
        <f aca="false">IF(V$5="A",Inputs_Actuals!V53,U156)</f>
        <v>0</v>
      </c>
      <c r="W157" s="62" t="n">
        <f aca="false">IF(W$5="A",Inputs_Actuals!W53,V156)</f>
        <v>0</v>
      </c>
      <c r="X157" s="62" t="n">
        <f aca="false">IF(X$5="A",Inputs_Actuals!X53,W156)</f>
        <v>0</v>
      </c>
      <c r="Y157" s="62" t="n">
        <f aca="false">IF(Y$5="A",Inputs_Actuals!Y53,X156)</f>
        <v>0</v>
      </c>
      <c r="Z157" s="62" t="n">
        <f aca="false">IF(Z$5="A",Inputs_Actuals!Z53,Y156)</f>
        <v>0</v>
      </c>
      <c r="AA157" s="62" t="n">
        <f aca="false">IF(AA$5="A",Inputs_Actuals!AA53,Z156)</f>
        <v>0</v>
      </c>
      <c r="AB157" s="62" t="n">
        <f aca="false">IF(AB$5="A",Inputs_Actuals!AB53,AA156)</f>
        <v>0</v>
      </c>
    </row>
    <row r="158" customFormat="false" ht="15" hidden="false" customHeight="false" outlineLevel="0" collapsed="false">
      <c r="A158" s="29" t="s">
        <v>847</v>
      </c>
      <c r="B158" s="60" t="s">
        <v>848</v>
      </c>
      <c r="C158" s="61" t="n">
        <f aca="false">P158</f>
        <v>0</v>
      </c>
      <c r="D158" s="61" t="n">
        <f aca="false">AB158</f>
        <v>0</v>
      </c>
      <c r="E158" s="62" t="n">
        <f aca="false">Engagement_Register!$X$14+E152+E156-E157-E153</f>
        <v>0</v>
      </c>
      <c r="F158" s="71" t="n">
        <f aca="false">E158+F152+F156-F157-F153</f>
        <v>61937.19</v>
      </c>
      <c r="G158" s="71" t="n">
        <f aca="false">F158+G152+G156-G157-G153</f>
        <v>69627.27</v>
      </c>
      <c r="H158" s="71" t="n">
        <f aca="false">G158+H152+H156-H157-H153</f>
        <v>60351.18</v>
      </c>
      <c r="I158" s="71" t="n">
        <f aca="false">H158+I152+I156-I157-I153</f>
        <v>53195.07</v>
      </c>
      <c r="J158" s="71" t="n">
        <f aca="false">I158+J152+J156-J157-J153</f>
        <v>67816.26</v>
      </c>
      <c r="K158" s="71" t="n">
        <f aca="false">J158+K152+K156-K157-K153</f>
        <v>76666.28</v>
      </c>
      <c r="L158" s="71" t="n">
        <f aca="false">K158+L152+L156-L157-L153</f>
        <v>58660.06</v>
      </c>
      <c r="M158" s="71" t="n">
        <f aca="false">L158+M152+M156-M157-M153</f>
        <v>71063.1970791517</v>
      </c>
      <c r="N158" s="71" t="n">
        <f aca="false">M158+N152+N156-N157-N153</f>
        <v>68458.7867149943</v>
      </c>
      <c r="O158" s="71" t="n">
        <f aca="false">N158+O152+O156-O157-O153</f>
        <v>0</v>
      </c>
      <c r="P158" s="71" t="n">
        <f aca="false">O158+P152+P156-P157-P153</f>
        <v>0</v>
      </c>
      <c r="Q158" s="71" t="n">
        <f aca="false">P158+Q152+Q156-Q157-Q153</f>
        <v>0</v>
      </c>
      <c r="R158" s="71" t="n">
        <f aca="false">Q158+R152+R156-R157-R153</f>
        <v>0</v>
      </c>
      <c r="S158" s="71" t="n">
        <f aca="false">R158+S152+S156-S157-S153</f>
        <v>0</v>
      </c>
      <c r="T158" s="71" t="n">
        <f aca="false">S158+T152+T156-T157-T153</f>
        <v>0</v>
      </c>
      <c r="U158" s="71" t="n">
        <f aca="false">T158+U152+U156-U157-U153</f>
        <v>0</v>
      </c>
      <c r="V158" s="71" t="n">
        <f aca="false">U158+V152+V156-V157-V153</f>
        <v>0</v>
      </c>
      <c r="W158" s="71" t="n">
        <f aca="false">V158+W152+W156-W157-W153</f>
        <v>0</v>
      </c>
      <c r="X158" s="71" t="n">
        <f aca="false">W158+X152+X156-X157-X153</f>
        <v>0</v>
      </c>
      <c r="Y158" s="71" t="n">
        <f aca="false">X158+Y152+Y156-Y157-Y153</f>
        <v>0</v>
      </c>
      <c r="Z158" s="71" t="n">
        <f aca="false">Y158+Z152+Z156-Z157-Z153</f>
        <v>0</v>
      </c>
      <c r="AA158" s="71" t="n">
        <f aca="false">Z158+AA152+AA156-AA157-AA153</f>
        <v>0</v>
      </c>
      <c r="AB158" s="71" t="n">
        <f aca="false">AA158+AB152+AB156-AB157-AB153</f>
        <v>0</v>
      </c>
    </row>
    <row r="159" customFormat="false" ht="15" hidden="false" customHeight="false" outlineLevel="0" collapsed="false">
      <c r="A159" s="29" t="s">
        <v>849</v>
      </c>
      <c r="B159" s="60" t="s">
        <v>850</v>
      </c>
      <c r="C159" s="61" t="n">
        <f aca="false">P159</f>
        <v>0</v>
      </c>
      <c r="D159" s="61" t="n">
        <f aca="false">AB159</f>
        <v>0</v>
      </c>
      <c r="E159" s="62" t="n">
        <f aca="false">MAX(0,Engagement_Register!$AM$14-E149)*Engagement_Register!$AE$14*Assumptions!E$194*(1-Engagement_Register!$AS$14)</f>
        <v>521809.760889146</v>
      </c>
      <c r="F159" s="62" t="n">
        <f aca="false">MAX(0,Engagement_Register!$AM$14-F149)*Engagement_Register!$AE$14*Assumptions!F$194*(1-Engagement_Register!$AS$14)</f>
        <v>467657.979345945</v>
      </c>
      <c r="G159" s="62" t="n">
        <f aca="false">MAX(0,Engagement_Register!$AM$14-G149)*Engagement_Register!$AE$14*Assumptions!G$194*(1-Engagement_Register!$AS$14)</f>
        <v>404940.634502344</v>
      </c>
      <c r="H159" s="62" t="n">
        <f aca="false">MAX(0,Engagement_Register!$AM$14-H149)*Engagement_Register!$AE$14*Assumptions!H$194*(1-Engagement_Register!$AS$14)</f>
        <v>350571.084400658</v>
      </c>
      <c r="I159" s="62" t="n">
        <f aca="false">MAX(0,Engagement_Register!$AM$14-I149)*Engagement_Register!$AE$14*Assumptions!I$194*(1-Engagement_Register!$AS$14)</f>
        <v>302807.180573009</v>
      </c>
      <c r="J159" s="62" t="n">
        <f aca="false">MAX(0,Engagement_Register!$AM$14-J149)*Engagement_Register!$AE$14*Assumptions!J$194*(1-Engagement_Register!$AS$14)</f>
        <v>243247.479827437</v>
      </c>
      <c r="K159" s="62" t="n">
        <f aca="false">MAX(0,Engagement_Register!$AM$14-K149)*Engagement_Register!$AE$14*Assumptions!K$194*(1-Engagement_Register!$AS$14)</f>
        <v>174886.299843107</v>
      </c>
      <c r="L159" s="62" t="n">
        <f aca="false">MAX(0,Engagement_Register!$AM$14-L149)*Engagement_Register!$AE$14*Assumptions!L$194*(1-Engagement_Register!$AS$14)</f>
        <v>124436.583794146</v>
      </c>
      <c r="M159" s="62" t="n">
        <f aca="false">MAX(0,Engagement_Register!$AM$14-M149)*Engagement_Register!$AE$14*Assumptions!M$194*(1-Engagement_Register!$AS$14)</f>
        <v>61056.883781661</v>
      </c>
      <c r="N159" s="62" t="n">
        <f aca="false">MAX(0,Engagement_Register!$AM$14-N149)*Engagement_Register!$AE$14*Assumptions!N$194*(1-Engagement_Register!$AS$14)</f>
        <v>0</v>
      </c>
      <c r="O159" s="62" t="n">
        <f aca="false">MAX(0,Engagement_Register!$AM$14-O149)*Engagement_Register!$AE$14*Assumptions!O$194*(1-Engagement_Register!$AS$14)</f>
        <v>0</v>
      </c>
      <c r="P159" s="62" t="n">
        <f aca="false">MAX(0,Engagement_Register!$AM$14-P149)*Engagement_Register!$AE$14*Assumptions!P$194*(1-Engagement_Register!$AS$14)</f>
        <v>0</v>
      </c>
      <c r="Q159" s="62" t="n">
        <f aca="false">MAX(0,Engagement_Register!$AM$14-Q149)*Engagement_Register!$AE$14*Assumptions!Q$194*(1-Engagement_Register!$AS$14)</f>
        <v>0</v>
      </c>
      <c r="R159" s="62" t="n">
        <f aca="false">MAX(0,Engagement_Register!$AM$14-R149)*Engagement_Register!$AE$14*Assumptions!R$194*(1-Engagement_Register!$AS$14)</f>
        <v>0</v>
      </c>
      <c r="S159" s="62" t="n">
        <f aca="false">MAX(0,Engagement_Register!$AM$14-S149)*Engagement_Register!$AE$14*Assumptions!S$194*(1-Engagement_Register!$AS$14)</f>
        <v>0</v>
      </c>
      <c r="T159" s="62" t="n">
        <f aca="false">MAX(0,Engagement_Register!$AM$14-T149)*Engagement_Register!$AE$14*Assumptions!T$194*(1-Engagement_Register!$AS$14)</f>
        <v>0</v>
      </c>
      <c r="U159" s="62" t="n">
        <f aca="false">MAX(0,Engagement_Register!$AM$14-U149)*Engagement_Register!$AE$14*Assumptions!U$194*(1-Engagement_Register!$AS$14)</f>
        <v>0</v>
      </c>
      <c r="V159" s="62" t="n">
        <f aca="false">MAX(0,Engagement_Register!$AM$14-V149)*Engagement_Register!$AE$14*Assumptions!V$194*(1-Engagement_Register!$AS$14)</f>
        <v>0</v>
      </c>
      <c r="W159" s="62" t="n">
        <f aca="false">MAX(0,Engagement_Register!$AM$14-W149)*Engagement_Register!$AE$14*Assumptions!W$194*(1-Engagement_Register!$AS$14)</f>
        <v>0</v>
      </c>
      <c r="X159" s="62" t="n">
        <f aca="false">MAX(0,Engagement_Register!$AM$14-X149)*Engagement_Register!$AE$14*Assumptions!X$194*(1-Engagement_Register!$AS$14)</f>
        <v>0</v>
      </c>
      <c r="Y159" s="62" t="n">
        <f aca="false">MAX(0,Engagement_Register!$AM$14-Y149)*Engagement_Register!$AE$14*Assumptions!Y$194*(1-Engagement_Register!$AS$14)</f>
        <v>0</v>
      </c>
      <c r="Z159" s="62" t="n">
        <f aca="false">MAX(0,Engagement_Register!$AM$14-Z149)*Engagement_Register!$AE$14*Assumptions!Z$194*(1-Engagement_Register!$AS$14)</f>
        <v>0</v>
      </c>
      <c r="AA159" s="62" t="n">
        <f aca="false">MAX(0,Engagement_Register!$AM$14-AA149)*Engagement_Register!$AE$14*Assumptions!AA$194*(1-Engagement_Register!$AS$14)</f>
        <v>0</v>
      </c>
      <c r="AB159" s="62" t="n">
        <f aca="false">MAX(0,Engagement_Register!$AM$14-AB149)*Engagement_Register!$AE$14*Assumptions!AB$194*(1-Engagement_Register!$AS$14)</f>
        <v>0</v>
      </c>
    </row>
    <row r="161" customFormat="false" ht="15" hidden="false" customHeight="false" outlineLevel="0" collapsed="false">
      <c r="A161" s="23" t="s">
        <v>874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row>
    <row r="162" customFormat="false" ht="15" hidden="false" customHeight="false" outlineLevel="0" collapsed="false">
      <c r="A162" s="29" t="s">
        <v>736</v>
      </c>
      <c r="B162" s="60" t="s">
        <v>832</v>
      </c>
      <c r="C162" s="66" t="n">
        <f aca="false">P162</f>
        <v>1040</v>
      </c>
      <c r="D162" s="66" t="n">
        <f aca="false">AB162</f>
        <v>1040</v>
      </c>
      <c r="E162" s="67" t="n">
        <f aca="false">Engagement_Register!$T$15+E17</f>
        <v>0</v>
      </c>
      <c r="F162" s="72" t="n">
        <f aca="false">E162+F17</f>
        <v>0</v>
      </c>
      <c r="G162" s="72" t="n">
        <f aca="false">F162+G17</f>
        <v>202.7</v>
      </c>
      <c r="H162" s="72" t="n">
        <f aca="false">G162+H17</f>
        <v>372</v>
      </c>
      <c r="I162" s="72" t="n">
        <f aca="false">H162+I17</f>
        <v>509.4</v>
      </c>
      <c r="J162" s="72" t="n">
        <f aca="false">I162+J17</f>
        <v>685</v>
      </c>
      <c r="K162" s="72" t="n">
        <f aca="false">J162+K17</f>
        <v>885.5</v>
      </c>
      <c r="L162" s="72" t="n">
        <f aca="false">K162+L17</f>
        <v>1040</v>
      </c>
      <c r="M162" s="72" t="n">
        <f aca="false">L162+M17</f>
        <v>1040</v>
      </c>
      <c r="N162" s="72" t="n">
        <f aca="false">M162+N17</f>
        <v>1040</v>
      </c>
      <c r="O162" s="72" t="n">
        <f aca="false">N162+O17</f>
        <v>1040</v>
      </c>
      <c r="P162" s="72" t="n">
        <f aca="false">O162+P17</f>
        <v>1040</v>
      </c>
      <c r="Q162" s="72" t="n">
        <f aca="false">P162+Q17</f>
        <v>1040</v>
      </c>
      <c r="R162" s="72" t="n">
        <f aca="false">Q162+R17</f>
        <v>1040</v>
      </c>
      <c r="S162" s="72" t="n">
        <f aca="false">R162+S17</f>
        <v>1040</v>
      </c>
      <c r="T162" s="72" t="n">
        <f aca="false">S162+T17</f>
        <v>1040</v>
      </c>
      <c r="U162" s="72" t="n">
        <f aca="false">T162+U17</f>
        <v>1040</v>
      </c>
      <c r="V162" s="72" t="n">
        <f aca="false">U162+V17</f>
        <v>1040</v>
      </c>
      <c r="W162" s="72" t="n">
        <f aca="false">V162+W17</f>
        <v>1040</v>
      </c>
      <c r="X162" s="72" t="n">
        <f aca="false">W162+X17</f>
        <v>1040</v>
      </c>
      <c r="Y162" s="72" t="n">
        <f aca="false">X162+Y17</f>
        <v>1040</v>
      </c>
      <c r="Z162" s="72" t="n">
        <f aca="false">Y162+Z17</f>
        <v>1040</v>
      </c>
      <c r="AA162" s="72" t="n">
        <f aca="false">Z162+AA17</f>
        <v>1040</v>
      </c>
      <c r="AB162" s="72" t="n">
        <f aca="false">AA162+AB17</f>
        <v>1040</v>
      </c>
    </row>
    <row r="163" customFormat="false" ht="15" hidden="false" customHeight="false" outlineLevel="0" collapsed="false">
      <c r="A163" s="29" t="s">
        <v>852</v>
      </c>
      <c r="B163" s="60" t="s">
        <v>853</v>
      </c>
      <c r="C163" s="66" t="n">
        <f aca="false">P163</f>
        <v>1040</v>
      </c>
      <c r="D163" s="66" t="n">
        <f aca="false">AB163</f>
        <v>1040</v>
      </c>
      <c r="E163" s="67" t="n">
        <f aca="false">IF(E$5="A",IF(E162+N(Inputs_Actuals!E55)&lt;=0,Engagement_Register!$AM$15,E162+N(Inputs_Actuals!E55)),Engagement_Register!$AM$15)</f>
        <v>1040</v>
      </c>
      <c r="F163" s="67" t="n">
        <f aca="false">IF(F$5="A",IF(F162+N(Inputs_Actuals!F55)&lt;=0,Engagement_Register!$AM$15,F162+N(Inputs_Actuals!F55)),Engagement_Register!$AM$15)</f>
        <v>1040</v>
      </c>
      <c r="G163" s="67" t="n">
        <f aca="false">IF(G$5="A",IF(G162+N(Inputs_Actuals!G55)&lt;=0,Engagement_Register!$AM$15,G162+N(Inputs_Actuals!G55)),Engagement_Register!$AM$15)</f>
        <v>1070</v>
      </c>
      <c r="H163" s="67" t="n">
        <f aca="false">IF(H$5="A",IF(H162+N(Inputs_Actuals!H55)&lt;=0,Engagement_Register!$AM$15,H162+N(Inputs_Actuals!H55)),Engagement_Register!$AM$15)</f>
        <v>1070</v>
      </c>
      <c r="I163" s="67" t="n">
        <f aca="false">IF(I$5="A",IF(I162+N(Inputs_Actuals!I55)&lt;=0,Engagement_Register!$AM$15,I162+N(Inputs_Actuals!I55)),Engagement_Register!$AM$15)</f>
        <v>1040</v>
      </c>
      <c r="J163" s="67" t="n">
        <f aca="false">IF(J$5="A",IF(J162+N(Inputs_Actuals!J55)&lt;=0,Engagement_Register!$AM$15,J162+N(Inputs_Actuals!J55)),Engagement_Register!$AM$15)</f>
        <v>1040</v>
      </c>
      <c r="K163" s="67" t="n">
        <f aca="false">IF(K$5="A",IF(K162+N(Inputs_Actuals!K55)&lt;=0,Engagement_Register!$AM$15,K162+N(Inputs_Actuals!K55)),Engagement_Register!$AM$15)</f>
        <v>1040</v>
      </c>
      <c r="L163" s="67" t="n">
        <f aca="false">IF(L$5="A",IF(L162+N(Inputs_Actuals!L55)&lt;=0,Engagement_Register!$AM$15,L162+N(Inputs_Actuals!L55)),Engagement_Register!$AM$15)</f>
        <v>1040</v>
      </c>
      <c r="M163" s="67" t="n">
        <f aca="false">IF(M$5="A",IF(M162+N(Inputs_Actuals!M55)&lt;=0,Engagement_Register!$AM$15,M162+N(Inputs_Actuals!M55)),Engagement_Register!$AM$15)</f>
        <v>1040</v>
      </c>
      <c r="N163" s="67" t="n">
        <f aca="false">IF(N$5="A",IF(N162+N(Inputs_Actuals!N55)&lt;=0,Engagement_Register!$AM$15,N162+N(Inputs_Actuals!N55)),Engagement_Register!$AM$15)</f>
        <v>1040</v>
      </c>
      <c r="O163" s="67" t="n">
        <f aca="false">IF(O$5="A",IF(O162+N(Inputs_Actuals!O55)&lt;=0,Engagement_Register!$AM$15,O162+N(Inputs_Actuals!O55)),Engagement_Register!$AM$15)</f>
        <v>1040</v>
      </c>
      <c r="P163" s="67" t="n">
        <f aca="false">IF(P$5="A",IF(P162+N(Inputs_Actuals!P55)&lt;=0,Engagement_Register!$AM$15,P162+N(Inputs_Actuals!P55)),Engagement_Register!$AM$15)</f>
        <v>1040</v>
      </c>
      <c r="Q163" s="67" t="n">
        <f aca="false">IF(Q$5="A",IF(Q162+N(Inputs_Actuals!Q55)&lt;=0,Engagement_Register!$AM$15,Q162+N(Inputs_Actuals!Q55)),Engagement_Register!$AM$15)</f>
        <v>1040</v>
      </c>
      <c r="R163" s="67" t="n">
        <f aca="false">IF(R$5="A",IF(R162+N(Inputs_Actuals!R55)&lt;=0,Engagement_Register!$AM$15,R162+N(Inputs_Actuals!R55)),Engagement_Register!$AM$15)</f>
        <v>1040</v>
      </c>
      <c r="S163" s="67" t="n">
        <f aca="false">IF(S$5="A",IF(S162+N(Inputs_Actuals!S55)&lt;=0,Engagement_Register!$AM$15,S162+N(Inputs_Actuals!S55)),Engagement_Register!$AM$15)</f>
        <v>1040</v>
      </c>
      <c r="T163" s="67" t="n">
        <f aca="false">IF(T$5="A",IF(T162+N(Inputs_Actuals!T55)&lt;=0,Engagement_Register!$AM$15,T162+N(Inputs_Actuals!T55)),Engagement_Register!$AM$15)</f>
        <v>1040</v>
      </c>
      <c r="U163" s="67" t="n">
        <f aca="false">IF(U$5="A",IF(U162+N(Inputs_Actuals!U55)&lt;=0,Engagement_Register!$AM$15,U162+N(Inputs_Actuals!U55)),Engagement_Register!$AM$15)</f>
        <v>1040</v>
      </c>
      <c r="V163" s="67" t="n">
        <f aca="false">IF(V$5="A",IF(V162+N(Inputs_Actuals!V55)&lt;=0,Engagement_Register!$AM$15,V162+N(Inputs_Actuals!V55)),Engagement_Register!$AM$15)</f>
        <v>1040</v>
      </c>
      <c r="W163" s="67" t="n">
        <f aca="false">IF(W$5="A",IF(W162+N(Inputs_Actuals!W55)&lt;=0,Engagement_Register!$AM$15,W162+N(Inputs_Actuals!W55)),Engagement_Register!$AM$15)</f>
        <v>1040</v>
      </c>
      <c r="X163" s="67" t="n">
        <f aca="false">IF(X$5="A",IF(X162+N(Inputs_Actuals!X55)&lt;=0,Engagement_Register!$AM$15,X162+N(Inputs_Actuals!X55)),Engagement_Register!$AM$15)</f>
        <v>1040</v>
      </c>
      <c r="Y163" s="67" t="n">
        <f aca="false">IF(Y$5="A",IF(Y162+N(Inputs_Actuals!Y55)&lt;=0,Engagement_Register!$AM$15,Y162+N(Inputs_Actuals!Y55)),Engagement_Register!$AM$15)</f>
        <v>1040</v>
      </c>
      <c r="Z163" s="67" t="n">
        <f aca="false">IF(Z$5="A",IF(Z162+N(Inputs_Actuals!Z55)&lt;=0,Engagement_Register!$AM$15,Z162+N(Inputs_Actuals!Z55)),Engagement_Register!$AM$15)</f>
        <v>1040</v>
      </c>
      <c r="AA163" s="67" t="n">
        <f aca="false">IF(AA$5="A",IF(AA162+N(Inputs_Actuals!AA55)&lt;=0,Engagement_Register!$AM$15,AA162+N(Inputs_Actuals!AA55)),Engagement_Register!$AM$15)</f>
        <v>1040</v>
      </c>
      <c r="AB163" s="67" t="n">
        <f aca="false">IF(AB$5="A",IF(AB162+N(Inputs_Actuals!AB55)&lt;=0,Engagement_Register!$AM$15,AB162+N(Inputs_Actuals!AB55)),Engagement_Register!$AM$15)</f>
        <v>1040</v>
      </c>
    </row>
    <row r="164" customFormat="false" ht="15" hidden="false" customHeight="false" outlineLevel="0" collapsed="false">
      <c r="A164" s="29" t="s">
        <v>854</v>
      </c>
      <c r="B164" s="60" t="s">
        <v>855</v>
      </c>
      <c r="C164" s="63" t="n">
        <f aca="false">P164</f>
        <v>1</v>
      </c>
      <c r="D164" s="63" t="n">
        <f aca="false">AB164</f>
        <v>1</v>
      </c>
      <c r="E164" s="64" t="n">
        <f aca="false">IF(E163&lt;=0,0,MIN(1,E162/E163))</f>
        <v>0</v>
      </c>
      <c r="F164" s="64" t="n">
        <f aca="false">IF(F163&lt;=0,0,MIN(1,F162/F163))</f>
        <v>0</v>
      </c>
      <c r="G164" s="64" t="n">
        <f aca="false">IF(G163&lt;=0,0,MIN(1,G162/G163))</f>
        <v>0.189439252336449</v>
      </c>
      <c r="H164" s="64" t="n">
        <f aca="false">IF(H163&lt;=0,0,MIN(1,H162/H163))</f>
        <v>0.347663551401869</v>
      </c>
      <c r="I164" s="64" t="n">
        <f aca="false">IF(I163&lt;=0,0,MIN(1,I162/I163))</f>
        <v>0.489807692307692</v>
      </c>
      <c r="J164" s="64" t="n">
        <f aca="false">IF(J163&lt;=0,0,MIN(1,J162/J163))</f>
        <v>0.658653846153846</v>
      </c>
      <c r="K164" s="64" t="n">
        <f aca="false">IF(K163&lt;=0,0,MIN(1,K162/K163))</f>
        <v>0.851442307692308</v>
      </c>
      <c r="L164" s="64" t="n">
        <f aca="false">IF(L163&lt;=0,0,MIN(1,L162/L163))</f>
        <v>1</v>
      </c>
      <c r="M164" s="64" t="n">
        <f aca="false">IF(M163&lt;=0,0,MIN(1,M162/M163))</f>
        <v>1</v>
      </c>
      <c r="N164" s="64" t="n">
        <f aca="false">IF(N163&lt;=0,0,MIN(1,N162/N163))</f>
        <v>1</v>
      </c>
      <c r="O164" s="64" t="n">
        <f aca="false">IF(O163&lt;=0,0,MIN(1,O162/O163))</f>
        <v>1</v>
      </c>
      <c r="P164" s="64" t="n">
        <f aca="false">IF(P163&lt;=0,0,MIN(1,P162/P163))</f>
        <v>1</v>
      </c>
      <c r="Q164" s="64" t="n">
        <f aca="false">IF(Q163&lt;=0,0,MIN(1,Q162/Q163))</f>
        <v>1</v>
      </c>
      <c r="R164" s="64" t="n">
        <f aca="false">IF(R163&lt;=0,0,MIN(1,R162/R163))</f>
        <v>1</v>
      </c>
      <c r="S164" s="64" t="n">
        <f aca="false">IF(S163&lt;=0,0,MIN(1,S162/S163))</f>
        <v>1</v>
      </c>
      <c r="T164" s="64" t="n">
        <f aca="false">IF(T163&lt;=0,0,MIN(1,T162/T163))</f>
        <v>1</v>
      </c>
      <c r="U164" s="64" t="n">
        <f aca="false">IF(U163&lt;=0,0,MIN(1,U162/U163))</f>
        <v>1</v>
      </c>
      <c r="V164" s="64" t="n">
        <f aca="false">IF(V163&lt;=0,0,MIN(1,V162/V163))</f>
        <v>1</v>
      </c>
      <c r="W164" s="64" t="n">
        <f aca="false">IF(W163&lt;=0,0,MIN(1,W162/W163))</f>
        <v>1</v>
      </c>
      <c r="X164" s="64" t="n">
        <f aca="false">IF(X163&lt;=0,0,MIN(1,X162/X163))</f>
        <v>1</v>
      </c>
      <c r="Y164" s="64" t="n">
        <f aca="false">IF(Y163&lt;=0,0,MIN(1,Y162/Y163))</f>
        <v>1</v>
      </c>
      <c r="Z164" s="64" t="n">
        <f aca="false">IF(Z163&lt;=0,0,MIN(1,Z162/Z163))</f>
        <v>1</v>
      </c>
      <c r="AA164" s="64" t="n">
        <f aca="false">IF(AA163&lt;=0,0,MIN(1,AA162/AA163))</f>
        <v>1</v>
      </c>
      <c r="AB164" s="64" t="n">
        <f aca="false">IF(AB163&lt;=0,0,MIN(1,AB162/AB163))</f>
        <v>1</v>
      </c>
    </row>
    <row r="165" customFormat="false" ht="15" hidden="false" customHeight="false" outlineLevel="0" collapsed="false">
      <c r="A165" s="29" t="s">
        <v>833</v>
      </c>
      <c r="B165" s="60" t="s">
        <v>834</v>
      </c>
      <c r="C165" s="61" t="n">
        <f aca="false">SUM(E165:P165)</f>
        <v>214864</v>
      </c>
      <c r="D165" s="61" t="n">
        <f aca="false">SUM(Q165:AB165)</f>
        <v>0</v>
      </c>
      <c r="E165" s="62" t="n">
        <f aca="false">E17*Engagement_Register!$AD$15*Assumptions!E$194</f>
        <v>0</v>
      </c>
      <c r="F165" s="62" t="n">
        <f aca="false">F17*Engagement_Register!$AD$15*Assumptions!F$194</f>
        <v>0</v>
      </c>
      <c r="G165" s="62" t="n">
        <f aca="false">G17*Engagement_Register!$AD$15*Assumptions!G$194</f>
        <v>41877.82</v>
      </c>
      <c r="H165" s="62" t="n">
        <f aca="false">H17*Engagement_Register!$AD$15*Assumptions!H$194</f>
        <v>34977.38</v>
      </c>
      <c r="I165" s="62" t="n">
        <f aca="false">I17*Engagement_Register!$AD$15*Assumptions!I$194</f>
        <v>28386.84</v>
      </c>
      <c r="J165" s="62" t="n">
        <f aca="false">J17*Engagement_Register!$AD$15*Assumptions!J$194</f>
        <v>36278.96</v>
      </c>
      <c r="K165" s="62" t="n">
        <f aca="false">K17*Engagement_Register!$AD$15*Assumptions!K$194</f>
        <v>41423.3</v>
      </c>
      <c r="L165" s="62" t="n">
        <f aca="false">L17*Engagement_Register!$AD$15*Assumptions!L$194</f>
        <v>31919.7</v>
      </c>
      <c r="M165" s="62" t="n">
        <f aca="false">M17*Engagement_Register!$AD$15*Assumptions!M$194</f>
        <v>0</v>
      </c>
      <c r="N165" s="62" t="n">
        <f aca="false">N17*Engagement_Register!$AD$15*Assumptions!N$194</f>
        <v>0</v>
      </c>
      <c r="O165" s="62" t="n">
        <f aca="false">O17*Engagement_Register!$AD$15*Assumptions!O$194</f>
        <v>0</v>
      </c>
      <c r="P165" s="62" t="n">
        <f aca="false">P17*Engagement_Register!$AD$15*Assumptions!P$194</f>
        <v>0</v>
      </c>
      <c r="Q165" s="62" t="n">
        <f aca="false">Q17*Engagement_Register!$AD$15*Assumptions!Q$194</f>
        <v>0</v>
      </c>
      <c r="R165" s="62" t="n">
        <f aca="false">R17*Engagement_Register!$AD$15*Assumptions!R$194</f>
        <v>0</v>
      </c>
      <c r="S165" s="62" t="n">
        <f aca="false">S17*Engagement_Register!$AD$15*Assumptions!S$194</f>
        <v>0</v>
      </c>
      <c r="T165" s="62" t="n">
        <f aca="false">T17*Engagement_Register!$AD$15*Assumptions!T$194</f>
        <v>0</v>
      </c>
      <c r="U165" s="62" t="n">
        <f aca="false">U17*Engagement_Register!$AD$15*Assumptions!U$194</f>
        <v>0</v>
      </c>
      <c r="V165" s="62" t="n">
        <f aca="false">V17*Engagement_Register!$AD$15*Assumptions!V$194</f>
        <v>0</v>
      </c>
      <c r="W165" s="62" t="n">
        <f aca="false">W17*Engagement_Register!$AD$15*Assumptions!W$194</f>
        <v>0</v>
      </c>
      <c r="X165" s="62" t="n">
        <f aca="false">X17*Engagement_Register!$AD$15*Assumptions!X$194</f>
        <v>0</v>
      </c>
      <c r="Y165" s="62" t="n">
        <f aca="false">Y17*Engagement_Register!$AD$15*Assumptions!Y$194</f>
        <v>0</v>
      </c>
      <c r="Z165" s="62" t="n">
        <f aca="false">Z17*Engagement_Register!$AD$15*Assumptions!Z$194</f>
        <v>0</v>
      </c>
      <c r="AA165" s="62" t="n">
        <f aca="false">AA17*Engagement_Register!$AD$15*Assumptions!AA$194</f>
        <v>0</v>
      </c>
      <c r="AB165" s="62" t="n">
        <f aca="false">AB17*Engagement_Register!$AD$15*Assumptions!AB$194</f>
        <v>0</v>
      </c>
    </row>
    <row r="166" customFormat="false" ht="15" hidden="false" customHeight="false" outlineLevel="0" collapsed="false">
      <c r="A166" s="29" t="s">
        <v>835</v>
      </c>
      <c r="B166" s="60" t="s">
        <v>865</v>
      </c>
      <c r="C166" s="61" t="n">
        <f aca="false">SUM(E166:P166)</f>
        <v>204112.14953271</v>
      </c>
      <c r="D166" s="61" t="n">
        <f aca="false">SUM(Q166:AB166)</f>
        <v>0</v>
      </c>
      <c r="E166" s="62" t="n">
        <f aca="false">E17*Engagement_Register!$AE$15</f>
        <v>0</v>
      </c>
      <c r="F166" s="62" t="n">
        <f aca="false">F17*Engagement_Register!$AE$15</f>
        <v>0</v>
      </c>
      <c r="G166" s="62" t="n">
        <f aca="false">G17*Engagement_Register!$AE$15</f>
        <v>39782.2429906542</v>
      </c>
      <c r="H166" s="62" t="n">
        <f aca="false">H17*Engagement_Register!$AE$15</f>
        <v>33227.1028037383</v>
      </c>
      <c r="I166" s="62" t="n">
        <f aca="false">I17*Engagement_Register!$AE$15</f>
        <v>26966.3551401869</v>
      </c>
      <c r="J166" s="62" t="n">
        <f aca="false">J17*Engagement_Register!$AE$15</f>
        <v>34463.5514018692</v>
      </c>
      <c r="K166" s="62" t="n">
        <f aca="false">K17*Engagement_Register!$AE$15</f>
        <v>39350.4672897196</v>
      </c>
      <c r="L166" s="62" t="n">
        <f aca="false">L17*Engagement_Register!$AE$15</f>
        <v>30322.4299065421</v>
      </c>
      <c r="M166" s="62" t="n">
        <f aca="false">M17*Engagement_Register!$AE$15</f>
        <v>0</v>
      </c>
      <c r="N166" s="62" t="n">
        <f aca="false">N17*Engagement_Register!$AE$15</f>
        <v>0</v>
      </c>
      <c r="O166" s="62" t="n">
        <f aca="false">O17*Engagement_Register!$AE$15</f>
        <v>0</v>
      </c>
      <c r="P166" s="62" t="n">
        <f aca="false">P17*Engagement_Register!$AE$15</f>
        <v>0</v>
      </c>
      <c r="Q166" s="62" t="n">
        <f aca="false">Q17*Engagement_Register!$AE$15</f>
        <v>0</v>
      </c>
      <c r="R166" s="62" t="n">
        <f aca="false">R17*Engagement_Register!$AE$15</f>
        <v>0</v>
      </c>
      <c r="S166" s="62" t="n">
        <f aca="false">S17*Engagement_Register!$AE$15</f>
        <v>0</v>
      </c>
      <c r="T166" s="62" t="n">
        <f aca="false">T17*Engagement_Register!$AE$15</f>
        <v>0</v>
      </c>
      <c r="U166" s="62" t="n">
        <f aca="false">U17*Engagement_Register!$AE$15</f>
        <v>0</v>
      </c>
      <c r="V166" s="62" t="n">
        <f aca="false">V17*Engagement_Register!$AE$15</f>
        <v>0</v>
      </c>
      <c r="W166" s="62" t="n">
        <f aca="false">W17*Engagement_Register!$AE$15</f>
        <v>0</v>
      </c>
      <c r="X166" s="62" t="n">
        <f aca="false">X17*Engagement_Register!$AE$15</f>
        <v>0</v>
      </c>
      <c r="Y166" s="62" t="n">
        <f aca="false">Y17*Engagement_Register!$AE$15</f>
        <v>0</v>
      </c>
      <c r="Z166" s="62" t="n">
        <f aca="false">Z17*Engagement_Register!$AE$15</f>
        <v>0</v>
      </c>
      <c r="AA166" s="62" t="n">
        <f aca="false">AA17*Engagement_Register!$AE$15</f>
        <v>0</v>
      </c>
      <c r="AB166" s="62" t="n">
        <f aca="false">AB17*Engagement_Register!$AE$15</f>
        <v>0</v>
      </c>
    </row>
    <row r="167" customFormat="false" ht="15" hidden="false" customHeight="false" outlineLevel="0" collapsed="false">
      <c r="A167" s="29" t="s">
        <v>742</v>
      </c>
      <c r="B167" s="60" t="s">
        <v>866</v>
      </c>
      <c r="C167" s="61" t="n">
        <f aca="false">P167</f>
        <v>210000</v>
      </c>
      <c r="D167" s="61" t="n">
        <f aca="false">AB167</f>
        <v>210000</v>
      </c>
      <c r="E167" s="62" t="n">
        <f aca="false">IF(E$5="A",Engagement_Register!$U$15+Inputs_Actuals!E56,Engagement_Register!$AP$15*E164)</f>
        <v>0</v>
      </c>
      <c r="F167" s="62" t="n">
        <f aca="false">IF(F$5="A",E167+Inputs_Actuals!F56,Engagement_Register!$AP$15*F164)</f>
        <v>0</v>
      </c>
      <c r="G167" s="62" t="n">
        <f aca="false">IF(G$5="A",F167+Inputs_Actuals!G56,Engagement_Register!$AP$15*G164)</f>
        <v>39782.24</v>
      </c>
      <c r="H167" s="62" t="n">
        <f aca="false">IF(H$5="A",G167+Inputs_Actuals!H56,Engagement_Register!$AP$15*H164)</f>
        <v>73009.35</v>
      </c>
      <c r="I167" s="62" t="n">
        <f aca="false">IF(I$5="A",H167+Inputs_Actuals!I56,Engagement_Register!$AP$15*I164)</f>
        <v>102859.62</v>
      </c>
      <c r="J167" s="62" t="n">
        <f aca="false">IF(J$5="A",I167+Inputs_Actuals!J56,Engagement_Register!$AP$15*J164)</f>
        <v>138317.31</v>
      </c>
      <c r="K167" s="62" t="n">
        <f aca="false">IF(K$5="A",J167+Inputs_Actuals!K56,Engagement_Register!$AP$15*K164)</f>
        <v>178802.88</v>
      </c>
      <c r="L167" s="62" t="n">
        <f aca="false">IF(L$5="A",K167+Inputs_Actuals!L56,Engagement_Register!$AP$15*L164)</f>
        <v>210000</v>
      </c>
      <c r="M167" s="62" t="n">
        <f aca="false">IF(M$5="A",L167+Inputs_Actuals!M56,Engagement_Register!$AP$15*M164)</f>
        <v>210000</v>
      </c>
      <c r="N167" s="62" t="n">
        <f aca="false">IF(N$5="A",M167+Inputs_Actuals!N56,Engagement_Register!$AP$15*N164)</f>
        <v>210000</v>
      </c>
      <c r="O167" s="62" t="n">
        <f aca="false">IF(O$5="A",N167+Inputs_Actuals!O56,Engagement_Register!$AP$15*O164)</f>
        <v>210000</v>
      </c>
      <c r="P167" s="62" t="n">
        <f aca="false">IF(P$5="A",O167+Inputs_Actuals!P56,Engagement_Register!$AP$15*P164)</f>
        <v>210000</v>
      </c>
      <c r="Q167" s="62" t="n">
        <f aca="false">IF(Q$5="A",P167+Inputs_Actuals!Q56,Engagement_Register!$AP$15*Q164)</f>
        <v>210000</v>
      </c>
      <c r="R167" s="62" t="n">
        <f aca="false">IF(R$5="A",Q167+Inputs_Actuals!R56,Engagement_Register!$AP$15*R164)</f>
        <v>210000</v>
      </c>
      <c r="S167" s="62" t="n">
        <f aca="false">IF(S$5="A",R167+Inputs_Actuals!S56,Engagement_Register!$AP$15*S164)</f>
        <v>210000</v>
      </c>
      <c r="T167" s="62" t="n">
        <f aca="false">IF(T$5="A",S167+Inputs_Actuals!T56,Engagement_Register!$AP$15*T164)</f>
        <v>210000</v>
      </c>
      <c r="U167" s="62" t="n">
        <f aca="false">IF(U$5="A",T167+Inputs_Actuals!U56,Engagement_Register!$AP$15*U164)</f>
        <v>210000</v>
      </c>
      <c r="V167" s="62" t="n">
        <f aca="false">IF(V$5="A",U167+Inputs_Actuals!V56,Engagement_Register!$AP$15*V164)</f>
        <v>210000</v>
      </c>
      <c r="W167" s="62" t="n">
        <f aca="false">IF(W$5="A",V167+Inputs_Actuals!W56,Engagement_Register!$AP$15*W164)</f>
        <v>210000</v>
      </c>
      <c r="X167" s="62" t="n">
        <f aca="false">IF(X$5="A",W167+Inputs_Actuals!X56,Engagement_Register!$AP$15*X164)</f>
        <v>210000</v>
      </c>
      <c r="Y167" s="62" t="n">
        <f aca="false">IF(Y$5="A",X167+Inputs_Actuals!Y56,Engagement_Register!$AP$15*Y164)</f>
        <v>210000</v>
      </c>
      <c r="Z167" s="62" t="n">
        <f aca="false">IF(Z$5="A",Y167+Inputs_Actuals!Z56,Engagement_Register!$AP$15*Z164)</f>
        <v>210000</v>
      </c>
      <c r="AA167" s="62" t="n">
        <f aca="false">IF(AA$5="A",Z167+Inputs_Actuals!AA56,Engagement_Register!$AP$15*AA164)</f>
        <v>210000</v>
      </c>
      <c r="AB167" s="62" t="n">
        <f aca="false">IF(AB$5="A",AA167+Inputs_Actuals!AB56,Engagement_Register!$AP$15*AB164)</f>
        <v>210000</v>
      </c>
    </row>
    <row r="168" customFormat="false" ht="15" hidden="false" customHeight="false" outlineLevel="0" collapsed="false">
      <c r="A168" s="68" t="s">
        <v>349</v>
      </c>
      <c r="B168" s="69" t="s">
        <v>859</v>
      </c>
      <c r="C168" s="70" t="n">
        <f aca="false">SUM(E168:P168)</f>
        <v>210000</v>
      </c>
      <c r="D168" s="70" t="n">
        <f aca="false">SUM(Q168:AB168)</f>
        <v>0</v>
      </c>
      <c r="E168" s="74" t="n">
        <f aca="false">E167-Engagement_Register!$U$15</f>
        <v>0</v>
      </c>
      <c r="F168" s="70" t="n">
        <f aca="false">F167-E167</f>
        <v>0</v>
      </c>
      <c r="G168" s="70" t="n">
        <f aca="false">G167-F167</f>
        <v>39782.24</v>
      </c>
      <c r="H168" s="70" t="n">
        <f aca="false">H167-G167</f>
        <v>33227.11</v>
      </c>
      <c r="I168" s="70" t="n">
        <f aca="false">I167-H167</f>
        <v>29850.27</v>
      </c>
      <c r="J168" s="70" t="n">
        <f aca="false">J167-I167</f>
        <v>35457.69</v>
      </c>
      <c r="K168" s="70" t="n">
        <f aca="false">K167-J167</f>
        <v>40485.57</v>
      </c>
      <c r="L168" s="70" t="n">
        <f aca="false">L167-K167</f>
        <v>31197.12</v>
      </c>
      <c r="M168" s="70" t="n">
        <f aca="false">M167-L167</f>
        <v>0</v>
      </c>
      <c r="N168" s="70" t="n">
        <f aca="false">N167-M167</f>
        <v>0</v>
      </c>
      <c r="O168" s="70" t="n">
        <f aca="false">O167-N167</f>
        <v>0</v>
      </c>
      <c r="P168" s="70" t="n">
        <f aca="false">P167-O167</f>
        <v>0</v>
      </c>
      <c r="Q168" s="70" t="n">
        <f aca="false">Q167-P167</f>
        <v>0</v>
      </c>
      <c r="R168" s="70" t="n">
        <f aca="false">R167-Q167</f>
        <v>0</v>
      </c>
      <c r="S168" s="70" t="n">
        <f aca="false">S167-R167</f>
        <v>0</v>
      </c>
      <c r="T168" s="70" t="n">
        <f aca="false">T167-S167</f>
        <v>0</v>
      </c>
      <c r="U168" s="70" t="n">
        <f aca="false">U167-T167</f>
        <v>0</v>
      </c>
      <c r="V168" s="70" t="n">
        <f aca="false">V167-U167</f>
        <v>0</v>
      </c>
      <c r="W168" s="70" t="n">
        <f aca="false">W167-V167</f>
        <v>0</v>
      </c>
      <c r="X168" s="70" t="n">
        <f aca="false">X167-W167</f>
        <v>0</v>
      </c>
      <c r="Y168" s="70" t="n">
        <f aca="false">Y167-X167</f>
        <v>0</v>
      </c>
      <c r="Z168" s="70" t="n">
        <f aca="false">Z167-Y167</f>
        <v>0</v>
      </c>
      <c r="AA168" s="70" t="n">
        <f aca="false">AA167-Z167</f>
        <v>0</v>
      </c>
      <c r="AB168" s="70" t="n">
        <f aca="false">AB167-AA167</f>
        <v>0</v>
      </c>
    </row>
    <row r="169" customFormat="false" ht="15" hidden="false" customHeight="false" outlineLevel="0" collapsed="false">
      <c r="A169" s="29" t="s">
        <v>867</v>
      </c>
      <c r="B169" s="60" t="s">
        <v>868</v>
      </c>
      <c r="C169" s="61" t="n">
        <f aca="false">P169</f>
        <v>210000</v>
      </c>
      <c r="D169" s="61" t="n">
        <f aca="false">AB169</f>
        <v>210000</v>
      </c>
      <c r="E169" s="62" t="n">
        <f aca="false">Engagement_Register!$AP$15*(Assumptions!$C$146*(Assumptions!E$187&gt;=Engagement_Register!$AG$15)+Assumptions!$C$147*(Assumptions!E$187&gt;=Engagement_Register!$AI$15)+Assumptions!$C$148*(Assumptions!E$187&gt;=Engagement_Register!$AH$15))</f>
        <v>0</v>
      </c>
      <c r="F169" s="62" t="n">
        <f aca="false">Engagement_Register!$AP$15*(Assumptions!$C$146*(Assumptions!F$187&gt;=Engagement_Register!$AG$15)+Assumptions!$C$147*(Assumptions!F$187&gt;=Engagement_Register!$AI$15)+Assumptions!$C$148*(Assumptions!F$187&gt;=Engagement_Register!$AH$15))</f>
        <v>0</v>
      </c>
      <c r="G169" s="62" t="n">
        <f aca="false">Engagement_Register!$AP$15*(Assumptions!$C$146*(Assumptions!G$187&gt;=Engagement_Register!$AG$15)+Assumptions!$C$147*(Assumptions!G$187&gt;=Engagement_Register!$AI$15)+Assumptions!$C$148*(Assumptions!G$187&gt;=Engagement_Register!$AH$15))</f>
        <v>63000</v>
      </c>
      <c r="H169" s="62" t="n">
        <f aca="false">Engagement_Register!$AP$15*(Assumptions!$C$146*(Assumptions!H$187&gt;=Engagement_Register!$AG$15)+Assumptions!$C$147*(Assumptions!H$187&gt;=Engagement_Register!$AI$15)+Assumptions!$C$148*(Assumptions!H$187&gt;=Engagement_Register!$AH$15))</f>
        <v>63000</v>
      </c>
      <c r="I169" s="62" t="n">
        <f aca="false">Engagement_Register!$AP$15*(Assumptions!$C$146*(Assumptions!I$187&gt;=Engagement_Register!$AG$15)+Assumptions!$C$147*(Assumptions!I$187&gt;=Engagement_Register!$AI$15)+Assumptions!$C$148*(Assumptions!I$187&gt;=Engagement_Register!$AH$15))</f>
        <v>63000</v>
      </c>
      <c r="J169" s="62" t="n">
        <f aca="false">Engagement_Register!$AP$15*(Assumptions!$C$146*(Assumptions!J$187&gt;=Engagement_Register!$AG$15)+Assumptions!$C$147*(Assumptions!J$187&gt;=Engagement_Register!$AI$15)+Assumptions!$C$148*(Assumptions!J$187&gt;=Engagement_Register!$AH$15))</f>
        <v>147000</v>
      </c>
      <c r="K169" s="62" t="n">
        <f aca="false">Engagement_Register!$AP$15*(Assumptions!$C$146*(Assumptions!K$187&gt;=Engagement_Register!$AG$15)+Assumptions!$C$147*(Assumptions!K$187&gt;=Engagement_Register!$AI$15)+Assumptions!$C$148*(Assumptions!K$187&gt;=Engagement_Register!$AH$15))</f>
        <v>147000</v>
      </c>
      <c r="L169" s="62" t="n">
        <f aca="false">Engagement_Register!$AP$15*(Assumptions!$C$146*(Assumptions!L$187&gt;=Engagement_Register!$AG$15)+Assumptions!$C$147*(Assumptions!L$187&gt;=Engagement_Register!$AI$15)+Assumptions!$C$148*(Assumptions!L$187&gt;=Engagement_Register!$AH$15))</f>
        <v>210000</v>
      </c>
      <c r="M169" s="62" t="n">
        <f aca="false">Engagement_Register!$AP$15*(Assumptions!$C$146*(Assumptions!M$187&gt;=Engagement_Register!$AG$15)+Assumptions!$C$147*(Assumptions!M$187&gt;=Engagement_Register!$AI$15)+Assumptions!$C$148*(Assumptions!M$187&gt;=Engagement_Register!$AH$15))</f>
        <v>210000</v>
      </c>
      <c r="N169" s="62" t="n">
        <f aca="false">Engagement_Register!$AP$15*(Assumptions!$C$146*(Assumptions!N$187&gt;=Engagement_Register!$AG$15)+Assumptions!$C$147*(Assumptions!N$187&gt;=Engagement_Register!$AI$15)+Assumptions!$C$148*(Assumptions!N$187&gt;=Engagement_Register!$AH$15))</f>
        <v>210000</v>
      </c>
      <c r="O169" s="62" t="n">
        <f aca="false">Engagement_Register!$AP$15*(Assumptions!$C$146*(Assumptions!O$187&gt;=Engagement_Register!$AG$15)+Assumptions!$C$147*(Assumptions!O$187&gt;=Engagement_Register!$AI$15)+Assumptions!$C$148*(Assumptions!O$187&gt;=Engagement_Register!$AH$15))</f>
        <v>210000</v>
      </c>
      <c r="P169" s="62" t="n">
        <f aca="false">Engagement_Register!$AP$15*(Assumptions!$C$146*(Assumptions!P$187&gt;=Engagement_Register!$AG$15)+Assumptions!$C$147*(Assumptions!P$187&gt;=Engagement_Register!$AI$15)+Assumptions!$C$148*(Assumptions!P$187&gt;=Engagement_Register!$AH$15))</f>
        <v>210000</v>
      </c>
      <c r="Q169" s="62" t="n">
        <f aca="false">Engagement_Register!$AP$15*(Assumptions!$C$146*(Assumptions!Q$187&gt;=Engagement_Register!$AG$15)+Assumptions!$C$147*(Assumptions!Q$187&gt;=Engagement_Register!$AI$15)+Assumptions!$C$148*(Assumptions!Q$187&gt;=Engagement_Register!$AH$15))</f>
        <v>210000</v>
      </c>
      <c r="R169" s="62" t="n">
        <f aca="false">Engagement_Register!$AP$15*(Assumptions!$C$146*(Assumptions!R$187&gt;=Engagement_Register!$AG$15)+Assumptions!$C$147*(Assumptions!R$187&gt;=Engagement_Register!$AI$15)+Assumptions!$C$148*(Assumptions!R$187&gt;=Engagement_Register!$AH$15))</f>
        <v>210000</v>
      </c>
      <c r="S169" s="62" t="n">
        <f aca="false">Engagement_Register!$AP$15*(Assumptions!$C$146*(Assumptions!S$187&gt;=Engagement_Register!$AG$15)+Assumptions!$C$147*(Assumptions!S$187&gt;=Engagement_Register!$AI$15)+Assumptions!$C$148*(Assumptions!S$187&gt;=Engagement_Register!$AH$15))</f>
        <v>210000</v>
      </c>
      <c r="T169" s="62" t="n">
        <f aca="false">Engagement_Register!$AP$15*(Assumptions!$C$146*(Assumptions!T$187&gt;=Engagement_Register!$AG$15)+Assumptions!$C$147*(Assumptions!T$187&gt;=Engagement_Register!$AI$15)+Assumptions!$C$148*(Assumptions!T$187&gt;=Engagement_Register!$AH$15))</f>
        <v>210000</v>
      </c>
      <c r="U169" s="62" t="n">
        <f aca="false">Engagement_Register!$AP$15*(Assumptions!$C$146*(Assumptions!U$187&gt;=Engagement_Register!$AG$15)+Assumptions!$C$147*(Assumptions!U$187&gt;=Engagement_Register!$AI$15)+Assumptions!$C$148*(Assumptions!U$187&gt;=Engagement_Register!$AH$15))</f>
        <v>210000</v>
      </c>
      <c r="V169" s="62" t="n">
        <f aca="false">Engagement_Register!$AP$15*(Assumptions!$C$146*(Assumptions!V$187&gt;=Engagement_Register!$AG$15)+Assumptions!$C$147*(Assumptions!V$187&gt;=Engagement_Register!$AI$15)+Assumptions!$C$148*(Assumptions!V$187&gt;=Engagement_Register!$AH$15))</f>
        <v>210000</v>
      </c>
      <c r="W169" s="62" t="n">
        <f aca="false">Engagement_Register!$AP$15*(Assumptions!$C$146*(Assumptions!W$187&gt;=Engagement_Register!$AG$15)+Assumptions!$C$147*(Assumptions!W$187&gt;=Engagement_Register!$AI$15)+Assumptions!$C$148*(Assumptions!W$187&gt;=Engagement_Register!$AH$15))</f>
        <v>210000</v>
      </c>
      <c r="X169" s="62" t="n">
        <f aca="false">Engagement_Register!$AP$15*(Assumptions!$C$146*(Assumptions!X$187&gt;=Engagement_Register!$AG$15)+Assumptions!$C$147*(Assumptions!X$187&gt;=Engagement_Register!$AI$15)+Assumptions!$C$148*(Assumptions!X$187&gt;=Engagement_Register!$AH$15))</f>
        <v>210000</v>
      </c>
      <c r="Y169" s="62" t="n">
        <f aca="false">Engagement_Register!$AP$15*(Assumptions!$C$146*(Assumptions!Y$187&gt;=Engagement_Register!$AG$15)+Assumptions!$C$147*(Assumptions!Y$187&gt;=Engagement_Register!$AI$15)+Assumptions!$C$148*(Assumptions!Y$187&gt;=Engagement_Register!$AH$15))</f>
        <v>210000</v>
      </c>
      <c r="Z169" s="62" t="n">
        <f aca="false">Engagement_Register!$AP$15*(Assumptions!$C$146*(Assumptions!Z$187&gt;=Engagement_Register!$AG$15)+Assumptions!$C$147*(Assumptions!Z$187&gt;=Engagement_Register!$AI$15)+Assumptions!$C$148*(Assumptions!Z$187&gt;=Engagement_Register!$AH$15))</f>
        <v>210000</v>
      </c>
      <c r="AA169" s="62" t="n">
        <f aca="false">Engagement_Register!$AP$15*(Assumptions!$C$146*(Assumptions!AA$187&gt;=Engagement_Register!$AG$15)+Assumptions!$C$147*(Assumptions!AA$187&gt;=Engagement_Register!$AI$15)+Assumptions!$C$148*(Assumptions!AA$187&gt;=Engagement_Register!$AH$15))</f>
        <v>210000</v>
      </c>
      <c r="AB169" s="62" t="n">
        <f aca="false">Engagement_Register!$AP$15*(Assumptions!$C$146*(Assumptions!AB$187&gt;=Engagement_Register!$AG$15)+Assumptions!$C$147*(Assumptions!AB$187&gt;=Engagement_Register!$AI$15)+Assumptions!$C$148*(Assumptions!AB$187&gt;=Engagement_Register!$AH$15))</f>
        <v>210000</v>
      </c>
    </row>
    <row r="170" customFormat="false" ht="15" hidden="false" customHeight="false" outlineLevel="0" collapsed="false">
      <c r="A170" s="29" t="s">
        <v>838</v>
      </c>
      <c r="B170" s="60" t="s">
        <v>869</v>
      </c>
      <c r="C170" s="61" t="n">
        <f aca="false">SUM(E170:P170)</f>
        <v>210000</v>
      </c>
      <c r="D170" s="61" t="n">
        <f aca="false">SUM(Q170:AB170)</f>
        <v>0</v>
      </c>
      <c r="E170" s="62" t="n">
        <f aca="false">IF(E$5="A",Inputs_Actuals!E57,MAX(0,E169-Engagement_Register!$V$15))</f>
        <v>0</v>
      </c>
      <c r="F170" s="62" t="n">
        <f aca="false">IF(F$5="A",Inputs_Actuals!F57,MAX(0,F169-E171))</f>
        <v>0</v>
      </c>
      <c r="G170" s="62" t="n">
        <f aca="false">IF(G$5="A",Inputs_Actuals!G57,MAX(0,G169-F171))</f>
        <v>63000</v>
      </c>
      <c r="H170" s="62" t="n">
        <f aca="false">IF(H$5="A",Inputs_Actuals!H57,MAX(0,H169-G171))</f>
        <v>0</v>
      </c>
      <c r="I170" s="62" t="n">
        <f aca="false">IF(I$5="A",Inputs_Actuals!I57,MAX(0,I169-H171))</f>
        <v>0</v>
      </c>
      <c r="J170" s="62" t="n">
        <f aca="false">IF(J$5="A",Inputs_Actuals!J57,MAX(0,J169-I171))</f>
        <v>84000</v>
      </c>
      <c r="K170" s="62" t="n">
        <f aca="false">IF(K$5="A",Inputs_Actuals!K57,MAX(0,K169-J171))</f>
        <v>0</v>
      </c>
      <c r="L170" s="62" t="n">
        <f aca="false">IF(L$5="A",Inputs_Actuals!L57,MAX(0,L169-K171))</f>
        <v>63000</v>
      </c>
      <c r="M170" s="62" t="n">
        <f aca="false">IF(M$5="A",Inputs_Actuals!M57,MAX(0,M169-L171))</f>
        <v>0</v>
      </c>
      <c r="N170" s="62" t="n">
        <f aca="false">IF(N$5="A",Inputs_Actuals!N57,MAX(0,N169-M171))</f>
        <v>0</v>
      </c>
      <c r="O170" s="62" t="n">
        <f aca="false">IF(O$5="A",Inputs_Actuals!O57,MAX(0,O169-N171))</f>
        <v>0</v>
      </c>
      <c r="P170" s="62" t="n">
        <f aca="false">IF(P$5="A",Inputs_Actuals!P57,MAX(0,P169-O171))</f>
        <v>0</v>
      </c>
      <c r="Q170" s="62" t="n">
        <f aca="false">IF(Q$5="A",Inputs_Actuals!Q57,MAX(0,Q169-P171))</f>
        <v>0</v>
      </c>
      <c r="R170" s="62" t="n">
        <f aca="false">IF(R$5="A",Inputs_Actuals!R57,MAX(0,R169-Q171))</f>
        <v>0</v>
      </c>
      <c r="S170" s="62" t="n">
        <f aca="false">IF(S$5="A",Inputs_Actuals!S57,MAX(0,S169-R171))</f>
        <v>0</v>
      </c>
      <c r="T170" s="62" t="n">
        <f aca="false">IF(T$5="A",Inputs_Actuals!T57,MAX(0,T169-S171))</f>
        <v>0</v>
      </c>
      <c r="U170" s="62" t="n">
        <f aca="false">IF(U$5="A",Inputs_Actuals!U57,MAX(0,U169-T171))</f>
        <v>0</v>
      </c>
      <c r="V170" s="62" t="n">
        <f aca="false">IF(V$5="A",Inputs_Actuals!V57,MAX(0,V169-U171))</f>
        <v>0</v>
      </c>
      <c r="W170" s="62" t="n">
        <f aca="false">IF(W$5="A",Inputs_Actuals!W57,MAX(0,W169-V171))</f>
        <v>0</v>
      </c>
      <c r="X170" s="62" t="n">
        <f aca="false">IF(X$5="A",Inputs_Actuals!X57,MAX(0,X169-W171))</f>
        <v>0</v>
      </c>
      <c r="Y170" s="62" t="n">
        <f aca="false">IF(Y$5="A",Inputs_Actuals!Y57,MAX(0,Y169-X171))</f>
        <v>0</v>
      </c>
      <c r="Z170" s="62" t="n">
        <f aca="false">IF(Z$5="A",Inputs_Actuals!Z57,MAX(0,Z169-Y171))</f>
        <v>0</v>
      </c>
      <c r="AA170" s="62" t="n">
        <f aca="false">IF(AA$5="A",Inputs_Actuals!AA57,MAX(0,AA169-Z171))</f>
        <v>0</v>
      </c>
      <c r="AB170" s="62" t="n">
        <f aca="false">IF(AB$5="A",Inputs_Actuals!AB57,MAX(0,AB169-AA171))</f>
        <v>0</v>
      </c>
    </row>
    <row r="171" customFormat="false" ht="15" hidden="false" customHeight="false" outlineLevel="0" collapsed="false">
      <c r="A171" s="29" t="s">
        <v>840</v>
      </c>
      <c r="B171" s="60"/>
      <c r="C171" s="61" t="n">
        <f aca="false">P171</f>
        <v>210000</v>
      </c>
      <c r="D171" s="61" t="n">
        <f aca="false">AB171</f>
        <v>210000</v>
      </c>
      <c r="E171" s="62" t="n">
        <f aca="false">Engagement_Register!$V$15+E170</f>
        <v>0</v>
      </c>
      <c r="F171" s="71" t="n">
        <f aca="false">E171+F170</f>
        <v>0</v>
      </c>
      <c r="G171" s="71" t="n">
        <f aca="false">F171+G170</f>
        <v>63000</v>
      </c>
      <c r="H171" s="71" t="n">
        <f aca="false">G171+H170</f>
        <v>63000</v>
      </c>
      <c r="I171" s="71" t="n">
        <f aca="false">H171+I170</f>
        <v>63000</v>
      </c>
      <c r="J171" s="71" t="n">
        <f aca="false">I171+J170</f>
        <v>147000</v>
      </c>
      <c r="K171" s="71" t="n">
        <f aca="false">J171+K170</f>
        <v>147000</v>
      </c>
      <c r="L171" s="71" t="n">
        <f aca="false">K171+L170</f>
        <v>210000</v>
      </c>
      <c r="M171" s="71" t="n">
        <f aca="false">L171+M170</f>
        <v>210000</v>
      </c>
      <c r="N171" s="71" t="n">
        <f aca="false">M171+N170</f>
        <v>210000</v>
      </c>
      <c r="O171" s="71" t="n">
        <f aca="false">N171+O170</f>
        <v>210000</v>
      </c>
      <c r="P171" s="71" t="n">
        <f aca="false">O171+P170</f>
        <v>210000</v>
      </c>
      <c r="Q171" s="71" t="n">
        <f aca="false">P171+Q170</f>
        <v>210000</v>
      </c>
      <c r="R171" s="71" t="n">
        <f aca="false">Q171+R170</f>
        <v>210000</v>
      </c>
      <c r="S171" s="71" t="n">
        <f aca="false">R171+S170</f>
        <v>210000</v>
      </c>
      <c r="T171" s="71" t="n">
        <f aca="false">S171+T170</f>
        <v>210000</v>
      </c>
      <c r="U171" s="71" t="n">
        <f aca="false">T171+U170</f>
        <v>210000</v>
      </c>
      <c r="V171" s="71" t="n">
        <f aca="false">U171+V170</f>
        <v>210000</v>
      </c>
      <c r="W171" s="71" t="n">
        <f aca="false">V171+W170</f>
        <v>210000</v>
      </c>
      <c r="X171" s="71" t="n">
        <f aca="false">W171+X170</f>
        <v>210000</v>
      </c>
      <c r="Y171" s="71" t="n">
        <f aca="false">X171+Y170</f>
        <v>210000</v>
      </c>
      <c r="Z171" s="71" t="n">
        <f aca="false">Y171+Z170</f>
        <v>210000</v>
      </c>
      <c r="AA171" s="71" t="n">
        <f aca="false">Z171+AA170</f>
        <v>210000</v>
      </c>
      <c r="AB171" s="71" t="n">
        <f aca="false">AA171+AB170</f>
        <v>210000</v>
      </c>
    </row>
    <row r="172" customFormat="false" ht="15" hidden="false" customHeight="false" outlineLevel="0" collapsed="false">
      <c r="A172" s="29" t="s">
        <v>841</v>
      </c>
      <c r="B172" s="60" t="s">
        <v>842</v>
      </c>
      <c r="C172" s="61" t="n">
        <f aca="false">SUM(E172:P172)</f>
        <v>11182.65</v>
      </c>
      <c r="D172" s="61" t="n">
        <f aca="false">SUM(Q172:AB172)</f>
        <v>0</v>
      </c>
      <c r="E172" s="62" t="n">
        <f aca="false">IF(E$5="A",Inputs_Actuals!E58,E17*Engagement_Register!$N$15*Assumptions!E$195)</f>
        <v>0</v>
      </c>
      <c r="F172" s="62" t="n">
        <f aca="false">IF(F$5="A",Inputs_Actuals!F58,F17*Engagement_Register!$N$15*Assumptions!F$195)</f>
        <v>0</v>
      </c>
      <c r="G172" s="62" t="n">
        <f aca="false">IF(G$5="A",Inputs_Actuals!G58,G17*Engagement_Register!$N$15*Assumptions!G$195)</f>
        <v>2364.22</v>
      </c>
      <c r="H172" s="62" t="n">
        <f aca="false">IF(H$5="A",Inputs_Actuals!H58,H17*Engagement_Register!$N$15*Assumptions!H$195)</f>
        <v>1587.66</v>
      </c>
      <c r="I172" s="62" t="n">
        <f aca="false">IF(I$5="A",Inputs_Actuals!I58,I17*Engagement_Register!$N$15*Assumptions!I$195)</f>
        <v>1232.14</v>
      </c>
      <c r="J172" s="62" t="n">
        <f aca="false">IF(J$5="A",Inputs_Actuals!J58,J17*Engagement_Register!$N$15*Assumptions!J$195)</f>
        <v>2119.72</v>
      </c>
      <c r="K172" s="62" t="n">
        <f aca="false">IF(K$5="A",Inputs_Actuals!K58,K17*Engagement_Register!$N$15*Assumptions!K$195)</f>
        <v>2160.66</v>
      </c>
      <c r="L172" s="62" t="n">
        <f aca="false">IF(L$5="A",Inputs_Actuals!L58,L17*Engagement_Register!$N$15*Assumptions!L$195)</f>
        <v>1718.25</v>
      </c>
      <c r="M172" s="62" t="n">
        <f aca="false">IF(M$5="A",Inputs_Actuals!M58,M17*Engagement_Register!$N$15*Assumptions!M$195)</f>
        <v>0</v>
      </c>
      <c r="N172" s="62" t="n">
        <f aca="false">IF(N$5="A",Inputs_Actuals!N58,N17*Engagement_Register!$N$15*Assumptions!N$195)</f>
        <v>0</v>
      </c>
      <c r="O172" s="62" t="n">
        <f aca="false">IF(O$5="A",Inputs_Actuals!O58,O17*Engagement_Register!$N$15*Assumptions!O$195)</f>
        <v>0</v>
      </c>
      <c r="P172" s="62" t="n">
        <f aca="false">IF(P$5="A",Inputs_Actuals!P58,P17*Engagement_Register!$N$15*Assumptions!P$195)</f>
        <v>0</v>
      </c>
      <c r="Q172" s="62" t="n">
        <f aca="false">IF(Q$5="A",Inputs_Actuals!Q58,Q17*Engagement_Register!$N$15*Assumptions!Q$195)</f>
        <v>0</v>
      </c>
      <c r="R172" s="62" t="n">
        <f aca="false">IF(R$5="A",Inputs_Actuals!R58,R17*Engagement_Register!$N$15*Assumptions!R$195)</f>
        <v>0</v>
      </c>
      <c r="S172" s="62" t="n">
        <f aca="false">IF(S$5="A",Inputs_Actuals!S58,S17*Engagement_Register!$N$15*Assumptions!S$195)</f>
        <v>0</v>
      </c>
      <c r="T172" s="62" t="n">
        <f aca="false">IF(T$5="A",Inputs_Actuals!T58,T17*Engagement_Register!$N$15*Assumptions!T$195)</f>
        <v>0</v>
      </c>
      <c r="U172" s="62" t="n">
        <f aca="false">IF(U$5="A",Inputs_Actuals!U58,U17*Engagement_Register!$N$15*Assumptions!U$195)</f>
        <v>0</v>
      </c>
      <c r="V172" s="62" t="n">
        <f aca="false">IF(V$5="A",Inputs_Actuals!V58,V17*Engagement_Register!$N$15*Assumptions!V$195)</f>
        <v>0</v>
      </c>
      <c r="W172" s="62" t="n">
        <f aca="false">IF(W$5="A",Inputs_Actuals!W58,W17*Engagement_Register!$N$15*Assumptions!W$195)</f>
        <v>0</v>
      </c>
      <c r="X172" s="62" t="n">
        <f aca="false">IF(X$5="A",Inputs_Actuals!X58,X17*Engagement_Register!$N$15*Assumptions!X$195)</f>
        <v>0</v>
      </c>
      <c r="Y172" s="62" t="n">
        <f aca="false">IF(Y$5="A",Inputs_Actuals!Y58,Y17*Engagement_Register!$N$15*Assumptions!Y$195)</f>
        <v>0</v>
      </c>
      <c r="Z172" s="62" t="n">
        <f aca="false">IF(Z$5="A",Inputs_Actuals!Z58,Z17*Engagement_Register!$N$15*Assumptions!Z$195)</f>
        <v>0</v>
      </c>
      <c r="AA172" s="62" t="n">
        <f aca="false">IF(AA$5="A",Inputs_Actuals!AA58,AA17*Engagement_Register!$N$15*Assumptions!AA$195)</f>
        <v>0</v>
      </c>
      <c r="AB172" s="62" t="n">
        <f aca="false">IF(AB$5="A",Inputs_Actuals!AB58,AB17*Engagement_Register!$N$15*Assumptions!AB$195)</f>
        <v>0</v>
      </c>
    </row>
    <row r="173" customFormat="false" ht="15" hidden="false" customHeight="false" outlineLevel="0" collapsed="false">
      <c r="A173" s="29" t="s">
        <v>847</v>
      </c>
      <c r="B173" s="60" t="s">
        <v>848</v>
      </c>
      <c r="C173" s="61" t="n">
        <f aca="false">P173</f>
        <v>0</v>
      </c>
      <c r="D173" s="61" t="n">
        <f aca="false">AB173</f>
        <v>0</v>
      </c>
      <c r="E173" s="62" t="n">
        <f aca="false">Engagement_Register!$X$15+E168-E170</f>
        <v>0</v>
      </c>
      <c r="F173" s="71" t="n">
        <f aca="false">E173+F168-F170</f>
        <v>0</v>
      </c>
      <c r="G173" s="71" t="n">
        <f aca="false">F173+G168-G170</f>
        <v>-23217.76</v>
      </c>
      <c r="H173" s="71" t="n">
        <f aca="false">G173+H168-H170</f>
        <v>10009.35</v>
      </c>
      <c r="I173" s="71" t="n">
        <f aca="false">H173+I168-I170</f>
        <v>39859.62</v>
      </c>
      <c r="J173" s="71" t="n">
        <f aca="false">I173+J168-J170</f>
        <v>-8682.69</v>
      </c>
      <c r="K173" s="71" t="n">
        <f aca="false">J173+K168-K170</f>
        <v>31802.88</v>
      </c>
      <c r="L173" s="71" t="n">
        <f aca="false">K173+L168-L170</f>
        <v>0</v>
      </c>
      <c r="M173" s="71" t="n">
        <f aca="false">L173+M168-M170</f>
        <v>0</v>
      </c>
      <c r="N173" s="71" t="n">
        <f aca="false">M173+N168-N170</f>
        <v>0</v>
      </c>
      <c r="O173" s="71" t="n">
        <f aca="false">N173+O168-O170</f>
        <v>0</v>
      </c>
      <c r="P173" s="71" t="n">
        <f aca="false">O173+P168-P170</f>
        <v>0</v>
      </c>
      <c r="Q173" s="71" t="n">
        <f aca="false">P173+Q168-Q170</f>
        <v>0</v>
      </c>
      <c r="R173" s="71" t="n">
        <f aca="false">Q173+R168-R170</f>
        <v>0</v>
      </c>
      <c r="S173" s="71" t="n">
        <f aca="false">R173+S168-S170</f>
        <v>0</v>
      </c>
      <c r="T173" s="71" t="n">
        <f aca="false">S173+T168-T170</f>
        <v>0</v>
      </c>
      <c r="U173" s="71" t="n">
        <f aca="false">T173+U168-U170</f>
        <v>0</v>
      </c>
      <c r="V173" s="71" t="n">
        <f aca="false">U173+V168-V170</f>
        <v>0</v>
      </c>
      <c r="W173" s="71" t="n">
        <f aca="false">V173+W168-W170</f>
        <v>0</v>
      </c>
      <c r="X173" s="71" t="n">
        <f aca="false">W173+X168-X170</f>
        <v>0</v>
      </c>
      <c r="Y173" s="71" t="n">
        <f aca="false">X173+Y168-Y170</f>
        <v>0</v>
      </c>
      <c r="Z173" s="71" t="n">
        <f aca="false">Y173+Z168-Z170</f>
        <v>0</v>
      </c>
      <c r="AA173" s="71" t="n">
        <f aca="false">Z173+AA168-AA170</f>
        <v>0</v>
      </c>
      <c r="AB173" s="71" t="n">
        <f aca="false">AA173+AB168-AB170</f>
        <v>0</v>
      </c>
    </row>
    <row r="174" customFormat="false" ht="15" hidden="false" customHeight="false" outlineLevel="0" collapsed="false">
      <c r="A174" s="29" t="s">
        <v>849</v>
      </c>
      <c r="B174" s="60" t="s">
        <v>850</v>
      </c>
      <c r="C174" s="61" t="n">
        <f aca="false">P174</f>
        <v>0</v>
      </c>
      <c r="D174" s="61" t="n">
        <f aca="false">AB174</f>
        <v>0</v>
      </c>
      <c r="E174" s="62" t="n">
        <f aca="false">MAX(0,Engagement_Register!$AP$15-E167)</f>
        <v>210000</v>
      </c>
      <c r="F174" s="62" t="n">
        <f aca="false">MAX(0,Engagement_Register!$AP$15-F167)</f>
        <v>210000</v>
      </c>
      <c r="G174" s="62" t="n">
        <f aca="false">MAX(0,Engagement_Register!$AP$15-G167)</f>
        <v>170217.76</v>
      </c>
      <c r="H174" s="62" t="n">
        <f aca="false">MAX(0,Engagement_Register!$AP$15-H167)</f>
        <v>136990.65</v>
      </c>
      <c r="I174" s="62" t="n">
        <f aca="false">MAX(0,Engagement_Register!$AP$15-I167)</f>
        <v>107140.38</v>
      </c>
      <c r="J174" s="62" t="n">
        <f aca="false">MAX(0,Engagement_Register!$AP$15-J167)</f>
        <v>71682.69</v>
      </c>
      <c r="K174" s="62" t="n">
        <f aca="false">MAX(0,Engagement_Register!$AP$15-K167)</f>
        <v>31197.12</v>
      </c>
      <c r="L174" s="62" t="n">
        <f aca="false">MAX(0,Engagement_Register!$AP$15-L167)</f>
        <v>0</v>
      </c>
      <c r="M174" s="62" t="n">
        <f aca="false">MAX(0,Engagement_Register!$AP$15-M167)</f>
        <v>0</v>
      </c>
      <c r="N174" s="62" t="n">
        <f aca="false">MAX(0,Engagement_Register!$AP$15-N167)</f>
        <v>0</v>
      </c>
      <c r="O174" s="62" t="n">
        <f aca="false">MAX(0,Engagement_Register!$AP$15-O167)</f>
        <v>0</v>
      </c>
      <c r="P174" s="62" t="n">
        <f aca="false">MAX(0,Engagement_Register!$AP$15-P167)</f>
        <v>0</v>
      </c>
      <c r="Q174" s="62" t="n">
        <f aca="false">MAX(0,Engagement_Register!$AP$15-Q167)</f>
        <v>0</v>
      </c>
      <c r="R174" s="62" t="n">
        <f aca="false">MAX(0,Engagement_Register!$AP$15-R167)</f>
        <v>0</v>
      </c>
      <c r="S174" s="62" t="n">
        <f aca="false">MAX(0,Engagement_Register!$AP$15-S167)</f>
        <v>0</v>
      </c>
      <c r="T174" s="62" t="n">
        <f aca="false">MAX(0,Engagement_Register!$AP$15-T167)</f>
        <v>0</v>
      </c>
      <c r="U174" s="62" t="n">
        <f aca="false">MAX(0,Engagement_Register!$AP$15-U167)</f>
        <v>0</v>
      </c>
      <c r="V174" s="62" t="n">
        <f aca="false">MAX(0,Engagement_Register!$AP$15-V167)</f>
        <v>0</v>
      </c>
      <c r="W174" s="62" t="n">
        <f aca="false">MAX(0,Engagement_Register!$AP$15-W167)</f>
        <v>0</v>
      </c>
      <c r="X174" s="62" t="n">
        <f aca="false">MAX(0,Engagement_Register!$AP$15-X167)</f>
        <v>0</v>
      </c>
      <c r="Y174" s="62" t="n">
        <f aca="false">MAX(0,Engagement_Register!$AP$15-Y167)</f>
        <v>0</v>
      </c>
      <c r="Z174" s="62" t="n">
        <f aca="false">MAX(0,Engagement_Register!$AP$15-Z167)</f>
        <v>0</v>
      </c>
      <c r="AA174" s="62" t="n">
        <f aca="false">MAX(0,Engagement_Register!$AP$15-AA167)</f>
        <v>0</v>
      </c>
      <c r="AB174" s="62" t="n">
        <f aca="false">MAX(0,Engagement_Register!$AP$15-AB167)</f>
        <v>0</v>
      </c>
    </row>
    <row r="175" customFormat="false" ht="15" hidden="false" customHeight="false" outlineLevel="0" collapsed="false">
      <c r="A175" s="29" t="s">
        <v>861</v>
      </c>
      <c r="B175" s="60" t="s">
        <v>862</v>
      </c>
      <c r="E175" s="62" t="n">
        <f aca="false">IF(E$5="A",ROUND(E167-E164*Engagement_Register!$AP$15,0),0)</f>
        <v>0</v>
      </c>
      <c r="F175" s="62" t="n">
        <f aca="false">IF(F$5="A",ROUND(F167-F164*Engagement_Register!$AP$15,0),0)</f>
        <v>0</v>
      </c>
      <c r="G175" s="62" t="n">
        <f aca="false">IF(G$5="A",ROUND(G167-G164*Engagement_Register!$AP$15,0),0)</f>
        <v>-0</v>
      </c>
      <c r="H175" s="62" t="n">
        <f aca="false">IF(H$5="A",ROUND(H167-H164*Engagement_Register!$AP$15,0),0)</f>
        <v>0</v>
      </c>
      <c r="I175" s="62" t="n">
        <f aca="false">IF(I$5="A",ROUND(I167-I164*Engagement_Register!$AP$15,0),0)</f>
        <v>0</v>
      </c>
      <c r="J175" s="62" t="n">
        <f aca="false">IF(J$5="A",ROUND(J167-J164*Engagement_Register!$AP$15,0),0)</f>
        <v>0</v>
      </c>
      <c r="K175" s="62" t="n">
        <f aca="false">IF(K$5="A",ROUND(K167-K164*Engagement_Register!$AP$15,0),0)</f>
        <v>-0</v>
      </c>
      <c r="L175" s="62" t="n">
        <f aca="false">IF(L$5="A",ROUND(L167-L164*Engagement_Register!$AP$15,0),0)</f>
        <v>0</v>
      </c>
      <c r="M175" s="62" t="n">
        <f aca="false">IF(M$5="A",ROUND(M167-M164*Engagement_Register!$AP$15,0),0)</f>
        <v>0</v>
      </c>
      <c r="N175" s="62" t="n">
        <f aca="false">IF(N$5="A",ROUND(N167-N164*Engagement_Register!$AP$15,0),0)</f>
        <v>0</v>
      </c>
      <c r="O175" s="62" t="n">
        <f aca="false">IF(O$5="A",ROUND(O167-O164*Engagement_Register!$AP$15,0),0)</f>
        <v>0</v>
      </c>
      <c r="P175" s="62" t="n">
        <f aca="false">IF(P$5="A",ROUND(P167-P164*Engagement_Register!$AP$15,0),0)</f>
        <v>0</v>
      </c>
      <c r="Q175" s="62" t="n">
        <f aca="false">IF(Q$5="A",ROUND(Q167-Q164*Engagement_Register!$AP$15,0),0)</f>
        <v>0</v>
      </c>
      <c r="R175" s="62" t="n">
        <f aca="false">IF(R$5="A",ROUND(R167-R164*Engagement_Register!$AP$15,0),0)</f>
        <v>0</v>
      </c>
      <c r="S175" s="62" t="n">
        <f aca="false">IF(S$5="A",ROUND(S167-S164*Engagement_Register!$AP$15,0),0)</f>
        <v>0</v>
      </c>
      <c r="T175" s="62" t="n">
        <f aca="false">IF(T$5="A",ROUND(T167-T164*Engagement_Register!$AP$15,0),0)</f>
        <v>0</v>
      </c>
      <c r="U175" s="62" t="n">
        <f aca="false">IF(U$5="A",ROUND(U167-U164*Engagement_Register!$AP$15,0),0)</f>
        <v>0</v>
      </c>
      <c r="V175" s="62" t="n">
        <f aca="false">IF(V$5="A",ROUND(V167-V164*Engagement_Register!$AP$15,0),0)</f>
        <v>0</v>
      </c>
      <c r="W175" s="62" t="n">
        <f aca="false">IF(W$5="A",ROUND(W167-W164*Engagement_Register!$AP$15,0),0)</f>
        <v>0</v>
      </c>
      <c r="X175" s="62" t="n">
        <f aca="false">IF(X$5="A",ROUND(X167-X164*Engagement_Register!$AP$15,0),0)</f>
        <v>0</v>
      </c>
      <c r="Y175" s="62" t="n">
        <f aca="false">IF(Y$5="A",ROUND(Y167-Y164*Engagement_Register!$AP$15,0),0)</f>
        <v>0</v>
      </c>
      <c r="Z175" s="62" t="n">
        <f aca="false">IF(Z$5="A",ROUND(Z167-Z164*Engagement_Register!$AP$15,0),0)</f>
        <v>0</v>
      </c>
      <c r="AA175" s="62" t="n">
        <f aca="false">IF(AA$5="A",ROUND(AA167-AA164*Engagement_Register!$AP$15,0),0)</f>
        <v>0</v>
      </c>
      <c r="AB175" s="62" t="n">
        <f aca="false">IF(AB$5="A",ROUND(AB167-AB164*Engagement_Register!$AP$15,0),0)</f>
        <v>0</v>
      </c>
    </row>
    <row r="177" customFormat="false" ht="15" hidden="false" customHeight="false" outlineLevel="0" collapsed="false">
      <c r="A177" s="23" t="s">
        <v>875</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row>
    <row r="178" customFormat="false" ht="15" hidden="false" customHeight="false" outlineLevel="0" collapsed="false">
      <c r="A178" s="29" t="s">
        <v>736</v>
      </c>
      <c r="B178" s="60" t="s">
        <v>832</v>
      </c>
      <c r="C178" s="66" t="n">
        <f aca="false">P178</f>
        <v>1469.44</v>
      </c>
      <c r="D178" s="66" t="n">
        <f aca="false">AB178</f>
        <v>1469.44</v>
      </c>
      <c r="E178" s="67" t="n">
        <f aca="false">Engagement_Register!$T$16+E18</f>
        <v>0</v>
      </c>
      <c r="F178" s="72" t="n">
        <f aca="false">E178+F18</f>
        <v>0</v>
      </c>
      <c r="G178" s="72" t="n">
        <f aca="false">F178+G18</f>
        <v>183.1</v>
      </c>
      <c r="H178" s="72" t="n">
        <f aca="false">G178+H18</f>
        <v>346</v>
      </c>
      <c r="I178" s="72" t="n">
        <f aca="false">H178+I18</f>
        <v>488.1</v>
      </c>
      <c r="J178" s="72" t="n">
        <f aca="false">I178+J18</f>
        <v>680.5</v>
      </c>
      <c r="K178" s="72" t="n">
        <f aca="false">J178+K18</f>
        <v>896.7</v>
      </c>
      <c r="L178" s="72" t="n">
        <f aca="false">K178+L18</f>
        <v>1061.2</v>
      </c>
      <c r="M178" s="72" t="n">
        <f aca="false">L178+M18</f>
        <v>1269.13024</v>
      </c>
      <c r="N178" s="72" t="n">
        <f aca="false">M178+N18</f>
        <v>1469.44</v>
      </c>
      <c r="O178" s="72" t="n">
        <f aca="false">N178+O18</f>
        <v>1469.44</v>
      </c>
      <c r="P178" s="72" t="n">
        <f aca="false">O178+P18</f>
        <v>1469.44</v>
      </c>
      <c r="Q178" s="72" t="n">
        <f aca="false">P178+Q18</f>
        <v>1469.44</v>
      </c>
      <c r="R178" s="72" t="n">
        <f aca="false">Q178+R18</f>
        <v>1469.44</v>
      </c>
      <c r="S178" s="72" t="n">
        <f aca="false">R178+S18</f>
        <v>1469.44</v>
      </c>
      <c r="T178" s="72" t="n">
        <f aca="false">S178+T18</f>
        <v>1469.44</v>
      </c>
      <c r="U178" s="72" t="n">
        <f aca="false">T178+U18</f>
        <v>1469.44</v>
      </c>
      <c r="V178" s="72" t="n">
        <f aca="false">U178+V18</f>
        <v>1469.44</v>
      </c>
      <c r="W178" s="72" t="n">
        <f aca="false">V178+W18</f>
        <v>1469.44</v>
      </c>
      <c r="X178" s="72" t="n">
        <f aca="false">W178+X18</f>
        <v>1469.44</v>
      </c>
      <c r="Y178" s="72" t="n">
        <f aca="false">X178+Y18</f>
        <v>1469.44</v>
      </c>
      <c r="Z178" s="72" t="n">
        <f aca="false">Y178+Z18</f>
        <v>1469.44</v>
      </c>
      <c r="AA178" s="72" t="n">
        <f aca="false">Z178+AA18</f>
        <v>1469.44</v>
      </c>
      <c r="AB178" s="72" t="n">
        <f aca="false">AA178+AB18</f>
        <v>1469.44</v>
      </c>
    </row>
    <row r="179" customFormat="false" ht="15" hidden="false" customHeight="false" outlineLevel="0" collapsed="false">
      <c r="A179" s="29" t="s">
        <v>852</v>
      </c>
      <c r="B179" s="60" t="s">
        <v>853</v>
      </c>
      <c r="C179" s="66" t="n">
        <f aca="false">P179</f>
        <v>1469.44</v>
      </c>
      <c r="D179" s="66" t="n">
        <f aca="false">AB179</f>
        <v>1469.44</v>
      </c>
      <c r="E179" s="67" t="n">
        <f aca="false">IF(E$5="A",IF(E178+N(Inputs_Actuals!E60)&lt;=0,Engagement_Register!$AM$16,E178+N(Inputs_Actuals!E60)),Engagement_Register!$AM$16)</f>
        <v>1469.44</v>
      </c>
      <c r="F179" s="67" t="n">
        <f aca="false">IF(F$5="A",IF(F178+N(Inputs_Actuals!F60)&lt;=0,Engagement_Register!$AM$16,F178+N(Inputs_Actuals!F60)),Engagement_Register!$AM$16)</f>
        <v>1469.44</v>
      </c>
      <c r="G179" s="67" t="n">
        <f aca="false">IF(G$5="A",IF(G178+N(Inputs_Actuals!G60)&lt;=0,Engagement_Register!$AM$16,G178+N(Inputs_Actuals!G60)),Engagement_Register!$AM$16)</f>
        <v>1380</v>
      </c>
      <c r="H179" s="67" t="n">
        <f aca="false">IF(H$5="A",IF(H178+N(Inputs_Actuals!H60)&lt;=0,Engagement_Register!$AM$16,H178+N(Inputs_Actuals!H60)),Engagement_Register!$AM$16)</f>
        <v>1380</v>
      </c>
      <c r="I179" s="67" t="n">
        <f aca="false">IF(I$5="A",IF(I178+N(Inputs_Actuals!I60)&lt;=0,Engagement_Register!$AM$16,I178+N(Inputs_Actuals!I60)),Engagement_Register!$AM$16)</f>
        <v>1380</v>
      </c>
      <c r="J179" s="67" t="n">
        <f aca="false">IF(J$5="A",IF(J178+N(Inputs_Actuals!J60)&lt;=0,Engagement_Register!$AM$16,J178+N(Inputs_Actuals!J60)),Engagement_Register!$AM$16)</f>
        <v>1450</v>
      </c>
      <c r="K179" s="67" t="n">
        <f aca="false">IF(K$5="A",IF(K178+N(Inputs_Actuals!K60)&lt;=0,Engagement_Register!$AM$16,K178+N(Inputs_Actuals!K60)),Engagement_Register!$AM$16)</f>
        <v>1450</v>
      </c>
      <c r="L179" s="67" t="n">
        <f aca="false">IF(L$5="A",IF(L178+N(Inputs_Actuals!L60)&lt;=0,Engagement_Register!$AM$16,L178+N(Inputs_Actuals!L60)),Engagement_Register!$AM$16)</f>
        <v>1450</v>
      </c>
      <c r="M179" s="67" t="n">
        <f aca="false">IF(M$5="A",IF(M178+N(Inputs_Actuals!M60)&lt;=0,Engagement_Register!$AM$16,M178+N(Inputs_Actuals!M60)),Engagement_Register!$AM$16)</f>
        <v>1469.44</v>
      </c>
      <c r="N179" s="67" t="n">
        <f aca="false">IF(N$5="A",IF(N178+N(Inputs_Actuals!N60)&lt;=0,Engagement_Register!$AM$16,N178+N(Inputs_Actuals!N60)),Engagement_Register!$AM$16)</f>
        <v>1469.44</v>
      </c>
      <c r="O179" s="67" t="n">
        <f aca="false">IF(O$5="A",IF(O178+N(Inputs_Actuals!O60)&lt;=0,Engagement_Register!$AM$16,O178+N(Inputs_Actuals!O60)),Engagement_Register!$AM$16)</f>
        <v>1469.44</v>
      </c>
      <c r="P179" s="67" t="n">
        <f aca="false">IF(P$5="A",IF(P178+N(Inputs_Actuals!P60)&lt;=0,Engagement_Register!$AM$16,P178+N(Inputs_Actuals!P60)),Engagement_Register!$AM$16)</f>
        <v>1469.44</v>
      </c>
      <c r="Q179" s="67" t="n">
        <f aca="false">IF(Q$5="A",IF(Q178+N(Inputs_Actuals!Q60)&lt;=0,Engagement_Register!$AM$16,Q178+N(Inputs_Actuals!Q60)),Engagement_Register!$AM$16)</f>
        <v>1469.44</v>
      </c>
      <c r="R179" s="67" t="n">
        <f aca="false">IF(R$5="A",IF(R178+N(Inputs_Actuals!R60)&lt;=0,Engagement_Register!$AM$16,R178+N(Inputs_Actuals!R60)),Engagement_Register!$AM$16)</f>
        <v>1469.44</v>
      </c>
      <c r="S179" s="67" t="n">
        <f aca="false">IF(S$5="A",IF(S178+N(Inputs_Actuals!S60)&lt;=0,Engagement_Register!$AM$16,S178+N(Inputs_Actuals!S60)),Engagement_Register!$AM$16)</f>
        <v>1469.44</v>
      </c>
      <c r="T179" s="67" t="n">
        <f aca="false">IF(T$5="A",IF(T178+N(Inputs_Actuals!T60)&lt;=0,Engagement_Register!$AM$16,T178+N(Inputs_Actuals!T60)),Engagement_Register!$AM$16)</f>
        <v>1469.44</v>
      </c>
      <c r="U179" s="67" t="n">
        <f aca="false">IF(U$5="A",IF(U178+N(Inputs_Actuals!U60)&lt;=0,Engagement_Register!$AM$16,U178+N(Inputs_Actuals!U60)),Engagement_Register!$AM$16)</f>
        <v>1469.44</v>
      </c>
      <c r="V179" s="67" t="n">
        <f aca="false">IF(V$5="A",IF(V178+N(Inputs_Actuals!V60)&lt;=0,Engagement_Register!$AM$16,V178+N(Inputs_Actuals!V60)),Engagement_Register!$AM$16)</f>
        <v>1469.44</v>
      </c>
      <c r="W179" s="67" t="n">
        <f aca="false">IF(W$5="A",IF(W178+N(Inputs_Actuals!W60)&lt;=0,Engagement_Register!$AM$16,W178+N(Inputs_Actuals!W60)),Engagement_Register!$AM$16)</f>
        <v>1469.44</v>
      </c>
      <c r="X179" s="67" t="n">
        <f aca="false">IF(X$5="A",IF(X178+N(Inputs_Actuals!X60)&lt;=0,Engagement_Register!$AM$16,X178+N(Inputs_Actuals!X60)),Engagement_Register!$AM$16)</f>
        <v>1469.44</v>
      </c>
      <c r="Y179" s="67" t="n">
        <f aca="false">IF(Y$5="A",IF(Y178+N(Inputs_Actuals!Y60)&lt;=0,Engagement_Register!$AM$16,Y178+N(Inputs_Actuals!Y60)),Engagement_Register!$AM$16)</f>
        <v>1469.44</v>
      </c>
      <c r="Z179" s="67" t="n">
        <f aca="false">IF(Z$5="A",IF(Z178+N(Inputs_Actuals!Z60)&lt;=0,Engagement_Register!$AM$16,Z178+N(Inputs_Actuals!Z60)),Engagement_Register!$AM$16)</f>
        <v>1469.44</v>
      </c>
      <c r="AA179" s="67" t="n">
        <f aca="false">IF(AA$5="A",IF(AA178+N(Inputs_Actuals!AA60)&lt;=0,Engagement_Register!$AM$16,AA178+N(Inputs_Actuals!AA60)),Engagement_Register!$AM$16)</f>
        <v>1469.44</v>
      </c>
      <c r="AB179" s="67" t="n">
        <f aca="false">IF(AB$5="A",IF(AB178+N(Inputs_Actuals!AB60)&lt;=0,Engagement_Register!$AM$16,AB178+N(Inputs_Actuals!AB60)),Engagement_Register!$AM$16)</f>
        <v>1469.44</v>
      </c>
    </row>
    <row r="180" customFormat="false" ht="15" hidden="false" customHeight="false" outlineLevel="0" collapsed="false">
      <c r="A180" s="29" t="s">
        <v>854</v>
      </c>
      <c r="B180" s="60" t="s">
        <v>855</v>
      </c>
      <c r="C180" s="63" t="n">
        <f aca="false">P180</f>
        <v>1</v>
      </c>
      <c r="D180" s="63" t="n">
        <f aca="false">AB180</f>
        <v>1</v>
      </c>
      <c r="E180" s="64" t="n">
        <f aca="false">IF(E179&lt;=0,0,MIN(1,E178/E179))</f>
        <v>0</v>
      </c>
      <c r="F180" s="64" t="n">
        <f aca="false">IF(F179&lt;=0,0,MIN(1,F178/F179))</f>
        <v>0</v>
      </c>
      <c r="G180" s="64" t="n">
        <f aca="false">IF(G179&lt;=0,0,MIN(1,G178/G179))</f>
        <v>0.13268115942029</v>
      </c>
      <c r="H180" s="64" t="n">
        <f aca="false">IF(H179&lt;=0,0,MIN(1,H178/H179))</f>
        <v>0.250724637681159</v>
      </c>
      <c r="I180" s="64" t="n">
        <f aca="false">IF(I179&lt;=0,0,MIN(1,I178/I179))</f>
        <v>0.353695652173913</v>
      </c>
      <c r="J180" s="64" t="n">
        <f aca="false">IF(J179&lt;=0,0,MIN(1,J178/J179))</f>
        <v>0.469310344827586</v>
      </c>
      <c r="K180" s="64" t="n">
        <f aca="false">IF(K179&lt;=0,0,MIN(1,K178/K179))</f>
        <v>0.618413793103448</v>
      </c>
      <c r="L180" s="64" t="n">
        <f aca="false">IF(L179&lt;=0,0,MIN(1,L178/L179))</f>
        <v>0.731862068965517</v>
      </c>
      <c r="M180" s="64" t="n">
        <f aca="false">IF(M179&lt;=0,0,MIN(1,M178/M179))</f>
        <v>0.863682926829268</v>
      </c>
      <c r="N180" s="64" t="n">
        <f aca="false">IF(N179&lt;=0,0,MIN(1,N178/N179))</f>
        <v>1</v>
      </c>
      <c r="O180" s="64" t="n">
        <f aca="false">IF(O179&lt;=0,0,MIN(1,O178/O179))</f>
        <v>1</v>
      </c>
      <c r="P180" s="64" t="n">
        <f aca="false">IF(P179&lt;=0,0,MIN(1,P178/P179))</f>
        <v>1</v>
      </c>
      <c r="Q180" s="64" t="n">
        <f aca="false">IF(Q179&lt;=0,0,MIN(1,Q178/Q179))</f>
        <v>1</v>
      </c>
      <c r="R180" s="64" t="n">
        <f aca="false">IF(R179&lt;=0,0,MIN(1,R178/R179))</f>
        <v>1</v>
      </c>
      <c r="S180" s="64" t="n">
        <f aca="false">IF(S179&lt;=0,0,MIN(1,S178/S179))</f>
        <v>1</v>
      </c>
      <c r="T180" s="64" t="n">
        <f aca="false">IF(T179&lt;=0,0,MIN(1,T178/T179))</f>
        <v>1</v>
      </c>
      <c r="U180" s="64" t="n">
        <f aca="false">IF(U179&lt;=0,0,MIN(1,U178/U179))</f>
        <v>1</v>
      </c>
      <c r="V180" s="64" t="n">
        <f aca="false">IF(V179&lt;=0,0,MIN(1,V178/V179))</f>
        <v>1</v>
      </c>
      <c r="W180" s="64" t="n">
        <f aca="false">IF(W179&lt;=0,0,MIN(1,W178/W179))</f>
        <v>1</v>
      </c>
      <c r="X180" s="64" t="n">
        <f aca="false">IF(X179&lt;=0,0,MIN(1,X178/X179))</f>
        <v>1</v>
      </c>
      <c r="Y180" s="64" t="n">
        <f aca="false">IF(Y179&lt;=0,0,MIN(1,Y178/Y179))</f>
        <v>1</v>
      </c>
      <c r="Z180" s="64" t="n">
        <f aca="false">IF(Z179&lt;=0,0,MIN(1,Z178/Z179))</f>
        <v>1</v>
      </c>
      <c r="AA180" s="64" t="n">
        <f aca="false">IF(AA179&lt;=0,0,MIN(1,AA178/AA179))</f>
        <v>1</v>
      </c>
      <c r="AB180" s="64" t="n">
        <f aca="false">IF(AB179&lt;=0,0,MIN(1,AB178/AB179))</f>
        <v>1</v>
      </c>
    </row>
    <row r="181" customFormat="false" ht="15" hidden="false" customHeight="false" outlineLevel="0" collapsed="false">
      <c r="A181" s="29" t="s">
        <v>833</v>
      </c>
      <c r="B181" s="60" t="s">
        <v>834</v>
      </c>
      <c r="C181" s="61" t="n">
        <f aca="false">SUM(E181:P181)</f>
        <v>289038.848</v>
      </c>
      <c r="D181" s="61" t="n">
        <f aca="false">SUM(Q181:AB181)</f>
        <v>0</v>
      </c>
      <c r="E181" s="62" t="n">
        <f aca="false">E18*Engagement_Register!$AD$16*Assumptions!E$194</f>
        <v>0</v>
      </c>
      <c r="F181" s="62" t="n">
        <f aca="false">F18*Engagement_Register!$AD$16*Assumptions!F$194</f>
        <v>0</v>
      </c>
      <c r="G181" s="62" t="n">
        <f aca="false">G18*Engagement_Register!$AD$16*Assumptions!G$194</f>
        <v>36015.77</v>
      </c>
      <c r="H181" s="62" t="n">
        <f aca="false">H18*Engagement_Register!$AD$16*Assumptions!H$194</f>
        <v>32042.43</v>
      </c>
      <c r="I181" s="62" t="n">
        <f aca="false">I18*Engagement_Register!$AD$16*Assumptions!I$194</f>
        <v>27951.07</v>
      </c>
      <c r="J181" s="62" t="n">
        <f aca="false">J18*Engagement_Register!$AD$16*Assumptions!J$194</f>
        <v>37845.08</v>
      </c>
      <c r="K181" s="62" t="n">
        <f aca="false">K18*Engagement_Register!$AD$16*Assumptions!K$194</f>
        <v>42526.54</v>
      </c>
      <c r="L181" s="62" t="n">
        <f aca="false">L18*Engagement_Register!$AD$16*Assumptions!L$194</f>
        <v>32357.15</v>
      </c>
      <c r="M181" s="62" t="n">
        <f aca="false">M18*Engagement_Register!$AD$16*Assumptions!M$194</f>
        <v>40899.878208</v>
      </c>
      <c r="N181" s="62" t="n">
        <f aca="false">N18*Engagement_Register!$AD$16*Assumptions!N$194</f>
        <v>39400.929792</v>
      </c>
      <c r="O181" s="62" t="n">
        <f aca="false">O18*Engagement_Register!$AD$16*Assumptions!O$194</f>
        <v>0</v>
      </c>
      <c r="P181" s="62" t="n">
        <f aca="false">P18*Engagement_Register!$AD$16*Assumptions!P$194</f>
        <v>0</v>
      </c>
      <c r="Q181" s="62" t="n">
        <f aca="false">Q18*Engagement_Register!$AD$16*Assumptions!Q$194</f>
        <v>0</v>
      </c>
      <c r="R181" s="62" t="n">
        <f aca="false">R18*Engagement_Register!$AD$16*Assumptions!R$194</f>
        <v>0</v>
      </c>
      <c r="S181" s="62" t="n">
        <f aca="false">S18*Engagement_Register!$AD$16*Assumptions!S$194</f>
        <v>0</v>
      </c>
      <c r="T181" s="62" t="n">
        <f aca="false">T18*Engagement_Register!$AD$16*Assumptions!T$194</f>
        <v>0</v>
      </c>
      <c r="U181" s="62" t="n">
        <f aca="false">U18*Engagement_Register!$AD$16*Assumptions!U$194</f>
        <v>0</v>
      </c>
      <c r="V181" s="62" t="n">
        <f aca="false">V18*Engagement_Register!$AD$16*Assumptions!V$194</f>
        <v>0</v>
      </c>
      <c r="W181" s="62" t="n">
        <f aca="false">W18*Engagement_Register!$AD$16*Assumptions!W$194</f>
        <v>0</v>
      </c>
      <c r="X181" s="62" t="n">
        <f aca="false">X18*Engagement_Register!$AD$16*Assumptions!X$194</f>
        <v>0</v>
      </c>
      <c r="Y181" s="62" t="n">
        <f aca="false">Y18*Engagement_Register!$AD$16*Assumptions!Y$194</f>
        <v>0</v>
      </c>
      <c r="Z181" s="62" t="n">
        <f aca="false">Z18*Engagement_Register!$AD$16*Assumptions!Z$194</f>
        <v>0</v>
      </c>
      <c r="AA181" s="62" t="n">
        <f aca="false">AA18*Engagement_Register!$AD$16*Assumptions!AA$194</f>
        <v>0</v>
      </c>
      <c r="AB181" s="62" t="n">
        <f aca="false">AB18*Engagement_Register!$AD$16*Assumptions!AB$194</f>
        <v>0</v>
      </c>
    </row>
    <row r="182" customFormat="false" ht="15" hidden="false" customHeight="false" outlineLevel="0" collapsed="false">
      <c r="A182" s="29" t="s">
        <v>835</v>
      </c>
      <c r="B182" s="60" t="s">
        <v>836</v>
      </c>
      <c r="C182" s="61" t="n">
        <f aca="false">SUM(E182:P182)</f>
        <v>271696.51712</v>
      </c>
      <c r="D182" s="61" t="n">
        <f aca="false">SUM(Q182:AB182)</f>
        <v>0</v>
      </c>
      <c r="E182" s="62" t="n">
        <f aca="false">E18*Engagement_Register!$AE$16*Assumptions!E$194</f>
        <v>0</v>
      </c>
      <c r="F182" s="62" t="n">
        <f aca="false">F18*Engagement_Register!$AE$16*Assumptions!F$194</f>
        <v>0</v>
      </c>
      <c r="G182" s="62" t="n">
        <f aca="false">G18*Engagement_Register!$AE$16*Assumptions!G$194</f>
        <v>33854.8238</v>
      </c>
      <c r="H182" s="62" t="n">
        <f aca="false">H18*Engagement_Register!$AE$16*Assumptions!H$194</f>
        <v>30119.8842</v>
      </c>
      <c r="I182" s="62" t="n">
        <f aca="false">I18*Engagement_Register!$AE$16*Assumptions!I$194</f>
        <v>26274.0058</v>
      </c>
      <c r="J182" s="62" t="n">
        <f aca="false">J18*Engagement_Register!$AE$16*Assumptions!J$194</f>
        <v>35574.3752</v>
      </c>
      <c r="K182" s="62" t="n">
        <f aca="false">K18*Engagement_Register!$AE$16*Assumptions!K$194</f>
        <v>39974.9476</v>
      </c>
      <c r="L182" s="62" t="n">
        <f aca="false">L18*Engagement_Register!$AE$16*Assumptions!L$194</f>
        <v>30415.721</v>
      </c>
      <c r="M182" s="62" t="n">
        <f aca="false">M18*Engagement_Register!$AE$16*Assumptions!M$194</f>
        <v>38445.88551552</v>
      </c>
      <c r="N182" s="62" t="n">
        <f aca="false">N18*Engagement_Register!$AE$16*Assumptions!N$194</f>
        <v>37036.87400448</v>
      </c>
      <c r="O182" s="62" t="n">
        <f aca="false">O18*Engagement_Register!$AE$16*Assumptions!O$194</f>
        <v>0</v>
      </c>
      <c r="P182" s="62" t="n">
        <f aca="false">P18*Engagement_Register!$AE$16*Assumptions!P$194</f>
        <v>0</v>
      </c>
      <c r="Q182" s="62" t="n">
        <f aca="false">Q18*Engagement_Register!$AE$16*Assumptions!Q$194</f>
        <v>0</v>
      </c>
      <c r="R182" s="62" t="n">
        <f aca="false">R18*Engagement_Register!$AE$16*Assumptions!R$194</f>
        <v>0</v>
      </c>
      <c r="S182" s="62" t="n">
        <f aca="false">S18*Engagement_Register!$AE$16*Assumptions!S$194</f>
        <v>0</v>
      </c>
      <c r="T182" s="62" t="n">
        <f aca="false">T18*Engagement_Register!$AE$16*Assumptions!T$194</f>
        <v>0</v>
      </c>
      <c r="U182" s="62" t="n">
        <f aca="false">U18*Engagement_Register!$AE$16*Assumptions!U$194</f>
        <v>0</v>
      </c>
      <c r="V182" s="62" t="n">
        <f aca="false">V18*Engagement_Register!$AE$16*Assumptions!V$194</f>
        <v>0</v>
      </c>
      <c r="W182" s="62" t="n">
        <f aca="false">W18*Engagement_Register!$AE$16*Assumptions!W$194</f>
        <v>0</v>
      </c>
      <c r="X182" s="62" t="n">
        <f aca="false">X18*Engagement_Register!$AE$16*Assumptions!X$194</f>
        <v>0</v>
      </c>
      <c r="Y182" s="62" t="n">
        <f aca="false">Y18*Engagement_Register!$AE$16*Assumptions!Y$194</f>
        <v>0</v>
      </c>
      <c r="Z182" s="62" t="n">
        <f aca="false">Z18*Engagement_Register!$AE$16*Assumptions!Z$194</f>
        <v>0</v>
      </c>
      <c r="AA182" s="62" t="n">
        <f aca="false">AA18*Engagement_Register!$AE$16*Assumptions!AA$194</f>
        <v>0</v>
      </c>
      <c r="AB182" s="62" t="n">
        <f aca="false">AB18*Engagement_Register!$AE$16*Assumptions!AB$194</f>
        <v>0</v>
      </c>
    </row>
    <row r="183" customFormat="false" ht="15" hidden="false" customHeight="false" outlineLevel="0" collapsed="false">
      <c r="A183" s="29" t="s">
        <v>856</v>
      </c>
      <c r="B183" s="60" t="s">
        <v>857</v>
      </c>
      <c r="C183" s="61" t="n">
        <f aca="false">P183</f>
        <v>271696.51712</v>
      </c>
      <c r="D183" s="61" t="n">
        <f aca="false">AB183</f>
        <v>271696.51712</v>
      </c>
      <c r="E183" s="62" t="n">
        <f aca="false">Engagement_Register!$W$16+E182</f>
        <v>0</v>
      </c>
      <c r="F183" s="71" t="n">
        <f aca="false">E183+F182</f>
        <v>0</v>
      </c>
      <c r="G183" s="71" t="n">
        <f aca="false">F183+G182</f>
        <v>33854.8238</v>
      </c>
      <c r="H183" s="71" t="n">
        <f aca="false">G183+H182</f>
        <v>63974.708</v>
      </c>
      <c r="I183" s="71" t="n">
        <f aca="false">H183+I182</f>
        <v>90248.7138</v>
      </c>
      <c r="J183" s="71" t="n">
        <f aca="false">I183+J182</f>
        <v>125823.089</v>
      </c>
      <c r="K183" s="71" t="n">
        <f aca="false">J183+K182</f>
        <v>165798.0366</v>
      </c>
      <c r="L183" s="71" t="n">
        <f aca="false">K183+L182</f>
        <v>196213.7576</v>
      </c>
      <c r="M183" s="71" t="n">
        <f aca="false">L183+M182</f>
        <v>234659.64311552</v>
      </c>
      <c r="N183" s="71" t="n">
        <f aca="false">M183+N182</f>
        <v>271696.51712</v>
      </c>
      <c r="O183" s="71" t="n">
        <f aca="false">N183+O182</f>
        <v>271696.51712</v>
      </c>
      <c r="P183" s="71" t="n">
        <f aca="false">O183+P182</f>
        <v>271696.51712</v>
      </c>
      <c r="Q183" s="71" t="n">
        <f aca="false">P183+Q182</f>
        <v>271696.51712</v>
      </c>
      <c r="R183" s="71" t="n">
        <f aca="false">Q183+R182</f>
        <v>271696.51712</v>
      </c>
      <c r="S183" s="71" t="n">
        <f aca="false">R183+S182</f>
        <v>271696.51712</v>
      </c>
      <c r="T183" s="71" t="n">
        <f aca="false">S183+T182</f>
        <v>271696.51712</v>
      </c>
      <c r="U183" s="71" t="n">
        <f aca="false">T183+U182</f>
        <v>271696.51712</v>
      </c>
      <c r="V183" s="71" t="n">
        <f aca="false">U183+V182</f>
        <v>271696.51712</v>
      </c>
      <c r="W183" s="71" t="n">
        <f aca="false">V183+W182</f>
        <v>271696.51712</v>
      </c>
      <c r="X183" s="71" t="n">
        <f aca="false">W183+X182</f>
        <v>271696.51712</v>
      </c>
      <c r="Y183" s="71" t="n">
        <f aca="false">X183+Y182</f>
        <v>271696.51712</v>
      </c>
      <c r="Z183" s="71" t="n">
        <f aca="false">Y183+Z182</f>
        <v>271696.51712</v>
      </c>
      <c r="AA183" s="71" t="n">
        <f aca="false">Z183+AA182</f>
        <v>271696.51712</v>
      </c>
      <c r="AB183" s="71" t="n">
        <f aca="false">AA183+AB182</f>
        <v>271696.51712</v>
      </c>
    </row>
    <row r="184" customFormat="false" ht="15" hidden="false" customHeight="false" outlineLevel="0" collapsed="false">
      <c r="A184" s="29" t="s">
        <v>742</v>
      </c>
      <c r="B184" s="60" t="s">
        <v>858</v>
      </c>
      <c r="C184" s="61" t="n">
        <f aca="false">P184</f>
        <v>260000</v>
      </c>
      <c r="D184" s="61" t="n">
        <f aca="false">AB184</f>
        <v>260000</v>
      </c>
      <c r="E184" s="62" t="n">
        <f aca="false">IF(E$5="A",Engagement_Register!$U$16+Inputs_Actuals!E61,IF(Engagement_Register!$AQ$16&gt;Engagement_Register!$AP$16,Engagement_Register!$AP$16*E180,E183))</f>
        <v>0</v>
      </c>
      <c r="F184" s="62" t="n">
        <f aca="false">IF(F$5="A",E184+Inputs_Actuals!F61,IF(Engagement_Register!$AQ$16&gt;Engagement_Register!$AP$16,Engagement_Register!$AP$16*F180,F183))</f>
        <v>0</v>
      </c>
      <c r="G184" s="62" t="n">
        <f aca="false">IF(G$5="A",F184+Inputs_Actuals!G61,IF(Engagement_Register!$AQ$16&gt;Engagement_Register!$AP$16,Engagement_Register!$AP$16*G180,G183))</f>
        <v>33854.82</v>
      </c>
      <c r="H184" s="62" t="n">
        <f aca="false">IF(H$5="A",G184+Inputs_Actuals!H61,IF(Engagement_Register!$AQ$16&gt;Engagement_Register!$AP$16,Engagement_Register!$AP$16*H180,H183))</f>
        <v>63974.7</v>
      </c>
      <c r="I184" s="62" t="n">
        <f aca="false">IF(I$5="A",H184+Inputs_Actuals!I61,IF(Engagement_Register!$AQ$16&gt;Engagement_Register!$AP$16,Engagement_Register!$AP$16*I180,I183))</f>
        <v>90248.71</v>
      </c>
      <c r="J184" s="62" t="n">
        <f aca="false">IF(J$5="A",I184+Inputs_Actuals!J61,IF(Engagement_Register!$AQ$16&gt;Engagement_Register!$AP$16,Engagement_Register!$AP$16*J180,J183))</f>
        <v>122020.69</v>
      </c>
      <c r="K184" s="62" t="n">
        <f aca="false">IF(K$5="A",J184+Inputs_Actuals!K61,IF(Engagement_Register!$AQ$16&gt;Engagement_Register!$AP$16,Engagement_Register!$AP$16*K180,K183))</f>
        <v>160787.59</v>
      </c>
      <c r="L184" s="62" t="n">
        <f aca="false">IF(L$5="A",K184+Inputs_Actuals!L61,IF(Engagement_Register!$AQ$16&gt;Engagement_Register!$AP$16,Engagement_Register!$AP$16*L180,L183))</f>
        <v>190284.14</v>
      </c>
      <c r="M184" s="62" t="n">
        <f aca="false">IF(M$5="A",L184+Inputs_Actuals!M61,IF(Engagement_Register!$AQ$16&gt;Engagement_Register!$AP$16,Engagement_Register!$AP$16*M180,M183))</f>
        <v>224557.56097561</v>
      </c>
      <c r="N184" s="62" t="n">
        <f aca="false">IF(N$5="A",M184+Inputs_Actuals!N61,IF(Engagement_Register!$AQ$16&gt;Engagement_Register!$AP$16,Engagement_Register!$AP$16*N180,N183))</f>
        <v>260000</v>
      </c>
      <c r="O184" s="62" t="n">
        <f aca="false">IF(O$5="A",N184+Inputs_Actuals!O61,IF(Engagement_Register!$AQ$16&gt;Engagement_Register!$AP$16,Engagement_Register!$AP$16*O180,O183))</f>
        <v>260000</v>
      </c>
      <c r="P184" s="62" t="n">
        <f aca="false">IF(P$5="A",O184+Inputs_Actuals!P61,IF(Engagement_Register!$AQ$16&gt;Engagement_Register!$AP$16,Engagement_Register!$AP$16*P180,P183))</f>
        <v>260000</v>
      </c>
      <c r="Q184" s="62" t="n">
        <f aca="false">IF(Q$5="A",P184+Inputs_Actuals!Q61,IF(Engagement_Register!$AQ$16&gt;Engagement_Register!$AP$16,Engagement_Register!$AP$16*Q180,Q183))</f>
        <v>260000</v>
      </c>
      <c r="R184" s="62" t="n">
        <f aca="false">IF(R$5="A",Q184+Inputs_Actuals!R61,IF(Engagement_Register!$AQ$16&gt;Engagement_Register!$AP$16,Engagement_Register!$AP$16*R180,R183))</f>
        <v>260000</v>
      </c>
      <c r="S184" s="62" t="n">
        <f aca="false">IF(S$5="A",R184+Inputs_Actuals!S61,IF(Engagement_Register!$AQ$16&gt;Engagement_Register!$AP$16,Engagement_Register!$AP$16*S180,S183))</f>
        <v>260000</v>
      </c>
      <c r="T184" s="62" t="n">
        <f aca="false">IF(T$5="A",S184+Inputs_Actuals!T61,IF(Engagement_Register!$AQ$16&gt;Engagement_Register!$AP$16,Engagement_Register!$AP$16*T180,T183))</f>
        <v>260000</v>
      </c>
      <c r="U184" s="62" t="n">
        <f aca="false">IF(U$5="A",T184+Inputs_Actuals!U61,IF(Engagement_Register!$AQ$16&gt;Engagement_Register!$AP$16,Engagement_Register!$AP$16*U180,U183))</f>
        <v>260000</v>
      </c>
      <c r="V184" s="62" t="n">
        <f aca="false">IF(V$5="A",U184+Inputs_Actuals!V61,IF(Engagement_Register!$AQ$16&gt;Engagement_Register!$AP$16,Engagement_Register!$AP$16*V180,V183))</f>
        <v>260000</v>
      </c>
      <c r="W184" s="62" t="n">
        <f aca="false">IF(W$5="A",V184+Inputs_Actuals!W61,IF(Engagement_Register!$AQ$16&gt;Engagement_Register!$AP$16,Engagement_Register!$AP$16*W180,W183))</f>
        <v>260000</v>
      </c>
      <c r="X184" s="62" t="n">
        <f aca="false">IF(X$5="A",W184+Inputs_Actuals!X61,IF(Engagement_Register!$AQ$16&gt;Engagement_Register!$AP$16,Engagement_Register!$AP$16*X180,X183))</f>
        <v>260000</v>
      </c>
      <c r="Y184" s="62" t="n">
        <f aca="false">IF(Y$5="A",X184+Inputs_Actuals!Y61,IF(Engagement_Register!$AQ$16&gt;Engagement_Register!$AP$16,Engagement_Register!$AP$16*Y180,Y183))</f>
        <v>260000</v>
      </c>
      <c r="Z184" s="62" t="n">
        <f aca="false">IF(Z$5="A",Y184+Inputs_Actuals!Z61,IF(Engagement_Register!$AQ$16&gt;Engagement_Register!$AP$16,Engagement_Register!$AP$16*Z180,Z183))</f>
        <v>260000</v>
      </c>
      <c r="AA184" s="62" t="n">
        <f aca="false">IF(AA$5="A",Z184+Inputs_Actuals!AA61,IF(Engagement_Register!$AQ$16&gt;Engagement_Register!$AP$16,Engagement_Register!$AP$16*AA180,AA183))</f>
        <v>260000</v>
      </c>
      <c r="AB184" s="62" t="n">
        <f aca="false">IF(AB$5="A",AA184+Inputs_Actuals!AB61,IF(Engagement_Register!$AQ$16&gt;Engagement_Register!$AP$16,Engagement_Register!$AP$16*AB180,AB183))</f>
        <v>260000</v>
      </c>
    </row>
    <row r="185" customFormat="false" ht="15" hidden="false" customHeight="false" outlineLevel="0" collapsed="false">
      <c r="A185" s="68" t="s">
        <v>349</v>
      </c>
      <c r="B185" s="69" t="s">
        <v>859</v>
      </c>
      <c r="C185" s="70" t="n">
        <f aca="false">SUM(E185:P185)</f>
        <v>260000</v>
      </c>
      <c r="D185" s="70" t="n">
        <f aca="false">SUM(Q185:AB185)</f>
        <v>0</v>
      </c>
      <c r="E185" s="74" t="n">
        <f aca="false">E184-Engagement_Register!$U$16</f>
        <v>0</v>
      </c>
      <c r="F185" s="70" t="n">
        <f aca="false">F184-E184</f>
        <v>0</v>
      </c>
      <c r="G185" s="70" t="n">
        <f aca="false">G184-F184</f>
        <v>33854.82</v>
      </c>
      <c r="H185" s="70" t="n">
        <f aca="false">H184-G184</f>
        <v>30119.88</v>
      </c>
      <c r="I185" s="70" t="n">
        <f aca="false">I184-H184</f>
        <v>26274.01</v>
      </c>
      <c r="J185" s="70" t="n">
        <f aca="false">J184-I184</f>
        <v>31771.98</v>
      </c>
      <c r="K185" s="70" t="n">
        <f aca="false">K184-J184</f>
        <v>38766.9</v>
      </c>
      <c r="L185" s="70" t="n">
        <f aca="false">L184-K184</f>
        <v>29496.55</v>
      </c>
      <c r="M185" s="70" t="n">
        <f aca="false">M184-L184</f>
        <v>34273.4209756098</v>
      </c>
      <c r="N185" s="70" t="n">
        <f aca="false">N184-M184</f>
        <v>35442.4390243902</v>
      </c>
      <c r="O185" s="70" t="n">
        <f aca="false">O184-N184</f>
        <v>0</v>
      </c>
      <c r="P185" s="70" t="n">
        <f aca="false">P184-O184</f>
        <v>0</v>
      </c>
      <c r="Q185" s="70" t="n">
        <f aca="false">Q184-P184</f>
        <v>0</v>
      </c>
      <c r="R185" s="70" t="n">
        <f aca="false">R184-Q184</f>
        <v>0</v>
      </c>
      <c r="S185" s="70" t="n">
        <f aca="false">S184-R184</f>
        <v>0</v>
      </c>
      <c r="T185" s="70" t="n">
        <f aca="false">T184-S184</f>
        <v>0</v>
      </c>
      <c r="U185" s="70" t="n">
        <f aca="false">U184-T184</f>
        <v>0</v>
      </c>
      <c r="V185" s="70" t="n">
        <f aca="false">V184-U184</f>
        <v>0</v>
      </c>
      <c r="W185" s="70" t="n">
        <f aca="false">W184-V184</f>
        <v>0</v>
      </c>
      <c r="X185" s="70" t="n">
        <f aca="false">X184-W184</f>
        <v>0</v>
      </c>
      <c r="Y185" s="70" t="n">
        <f aca="false">Y184-X184</f>
        <v>0</v>
      </c>
      <c r="Z185" s="70" t="n">
        <f aca="false">Z184-Y184</f>
        <v>0</v>
      </c>
      <c r="AA185" s="70" t="n">
        <f aca="false">AA184-Z184</f>
        <v>0</v>
      </c>
      <c r="AB185" s="70" t="n">
        <f aca="false">AB184-AA184</f>
        <v>0</v>
      </c>
    </row>
    <row r="186" customFormat="false" ht="15" hidden="false" customHeight="false" outlineLevel="0" collapsed="false">
      <c r="A186" s="29" t="s">
        <v>838</v>
      </c>
      <c r="B186" s="60" t="s">
        <v>860</v>
      </c>
      <c r="C186" s="61" t="n">
        <f aca="false">SUM(E186:P186)</f>
        <v>260000</v>
      </c>
      <c r="D186" s="61" t="n">
        <f aca="false">SUM(Q186:AB186)</f>
        <v>0</v>
      </c>
      <c r="E186" s="62" t="n">
        <f aca="false">IF(E$5="A",Inputs_Actuals!E62,MAX(0,MIN(0,Engagement_Register!$AP$16-Engagement_Register!$V$16)))</f>
        <v>0</v>
      </c>
      <c r="F186" s="62" t="n">
        <f aca="false">IF(F$5="A",Inputs_Actuals!F62,MAX(0,MIN(E182,Engagement_Register!$AP$16-E187)))</f>
        <v>0</v>
      </c>
      <c r="G186" s="62" t="n">
        <f aca="false">IF(G$5="A",Inputs_Actuals!G62,MAX(0,MIN(F182,Engagement_Register!$AP$16-F187)))</f>
        <v>0</v>
      </c>
      <c r="H186" s="62" t="n">
        <f aca="false">IF(H$5="A",Inputs_Actuals!H62,MAX(0,MIN(G182,Engagement_Register!$AP$16-G187)))</f>
        <v>33854.82</v>
      </c>
      <c r="I186" s="62" t="n">
        <f aca="false">IF(I$5="A",Inputs_Actuals!I62,MAX(0,MIN(H182,Engagement_Register!$AP$16-H187)))</f>
        <v>30119.88</v>
      </c>
      <c r="J186" s="62" t="n">
        <f aca="false">IF(J$5="A",Inputs_Actuals!J62,MAX(0,MIN(I182,Engagement_Register!$AP$16-I187)))</f>
        <v>26274.01</v>
      </c>
      <c r="K186" s="62" t="n">
        <f aca="false">IF(K$5="A",Inputs_Actuals!K62,MAX(0,MIN(J182,Engagement_Register!$AP$16-J187)))</f>
        <v>35574.38</v>
      </c>
      <c r="L186" s="62" t="n">
        <f aca="false">IF(L$5="A",Inputs_Actuals!L62,MAX(0,MIN(K182,Engagement_Register!$AP$16-K187)))</f>
        <v>39974.95</v>
      </c>
      <c r="M186" s="62" t="n">
        <f aca="false">IF(M$5="A",Inputs_Actuals!M62,MAX(0,MIN(L182,Engagement_Register!$AP$16-L187)))</f>
        <v>30415.721</v>
      </c>
      <c r="N186" s="62" t="n">
        <f aca="false">IF(N$5="A",Inputs_Actuals!N62,MAX(0,MIN(M182,Engagement_Register!$AP$16-M187)))</f>
        <v>38445.88551552</v>
      </c>
      <c r="O186" s="62" t="n">
        <f aca="false">IF(O$5="A",Inputs_Actuals!O62,MAX(0,MIN(N182,Engagement_Register!$AP$16-N187)))</f>
        <v>25340.35348448</v>
      </c>
      <c r="P186" s="62" t="n">
        <f aca="false">IF(P$5="A",Inputs_Actuals!P62,MAX(0,MIN(O182,Engagement_Register!$AP$16-O187)))</f>
        <v>0</v>
      </c>
      <c r="Q186" s="62" t="n">
        <f aca="false">IF(Q$5="A",Inputs_Actuals!Q62,MAX(0,MIN(P182,Engagement_Register!$AP$16-P187)))</f>
        <v>0</v>
      </c>
      <c r="R186" s="62" t="n">
        <f aca="false">IF(R$5="A",Inputs_Actuals!R62,MAX(0,MIN(Q182,Engagement_Register!$AP$16-Q187)))</f>
        <v>0</v>
      </c>
      <c r="S186" s="62" t="n">
        <f aca="false">IF(S$5="A",Inputs_Actuals!S62,MAX(0,MIN(R182,Engagement_Register!$AP$16-R187)))</f>
        <v>0</v>
      </c>
      <c r="T186" s="62" t="n">
        <f aca="false">IF(T$5="A",Inputs_Actuals!T62,MAX(0,MIN(S182,Engagement_Register!$AP$16-S187)))</f>
        <v>0</v>
      </c>
      <c r="U186" s="62" t="n">
        <f aca="false">IF(U$5="A",Inputs_Actuals!U62,MAX(0,MIN(T182,Engagement_Register!$AP$16-T187)))</f>
        <v>0</v>
      </c>
      <c r="V186" s="62" t="n">
        <f aca="false">IF(V$5="A",Inputs_Actuals!V62,MAX(0,MIN(U182,Engagement_Register!$AP$16-U187)))</f>
        <v>0</v>
      </c>
      <c r="W186" s="62" t="n">
        <f aca="false">IF(W$5="A",Inputs_Actuals!W62,MAX(0,MIN(V182,Engagement_Register!$AP$16-V187)))</f>
        <v>0</v>
      </c>
      <c r="X186" s="62" t="n">
        <f aca="false">IF(X$5="A",Inputs_Actuals!X62,MAX(0,MIN(W182,Engagement_Register!$AP$16-W187)))</f>
        <v>0</v>
      </c>
      <c r="Y186" s="62" t="n">
        <f aca="false">IF(Y$5="A",Inputs_Actuals!Y62,MAX(0,MIN(X182,Engagement_Register!$AP$16-X187)))</f>
        <v>0</v>
      </c>
      <c r="Z186" s="62" t="n">
        <f aca="false">IF(Z$5="A",Inputs_Actuals!Z62,MAX(0,MIN(Y182,Engagement_Register!$AP$16-Y187)))</f>
        <v>0</v>
      </c>
      <c r="AA186" s="62" t="n">
        <f aca="false">IF(AA$5="A",Inputs_Actuals!AA62,MAX(0,MIN(Z182,Engagement_Register!$AP$16-Z187)))</f>
        <v>0</v>
      </c>
      <c r="AB186" s="62" t="n">
        <f aca="false">IF(AB$5="A",Inputs_Actuals!AB62,MAX(0,MIN(AA182,Engagement_Register!$AP$16-AA187)))</f>
        <v>0</v>
      </c>
    </row>
    <row r="187" customFormat="false" ht="15" hidden="false" customHeight="false" outlineLevel="0" collapsed="false">
      <c r="A187" s="29" t="s">
        <v>840</v>
      </c>
      <c r="B187" s="60"/>
      <c r="C187" s="61" t="n">
        <f aca="false">P187</f>
        <v>260000</v>
      </c>
      <c r="D187" s="61" t="n">
        <f aca="false">AB187</f>
        <v>260000</v>
      </c>
      <c r="E187" s="62" t="n">
        <f aca="false">Engagement_Register!$V$16+E186</f>
        <v>0</v>
      </c>
      <c r="F187" s="71" t="n">
        <f aca="false">E187+F186</f>
        <v>0</v>
      </c>
      <c r="G187" s="71" t="n">
        <f aca="false">F187+G186</f>
        <v>0</v>
      </c>
      <c r="H187" s="71" t="n">
        <f aca="false">G187+H186</f>
        <v>33854.82</v>
      </c>
      <c r="I187" s="71" t="n">
        <f aca="false">H187+I186</f>
        <v>63974.7</v>
      </c>
      <c r="J187" s="71" t="n">
        <f aca="false">I187+J186</f>
        <v>90248.71</v>
      </c>
      <c r="K187" s="71" t="n">
        <f aca="false">J187+K186</f>
        <v>125823.09</v>
      </c>
      <c r="L187" s="71" t="n">
        <f aca="false">K187+L186</f>
        <v>165798.04</v>
      </c>
      <c r="M187" s="71" t="n">
        <f aca="false">L187+M186</f>
        <v>196213.761</v>
      </c>
      <c r="N187" s="71" t="n">
        <f aca="false">M187+N186</f>
        <v>234659.64651552</v>
      </c>
      <c r="O187" s="71" t="n">
        <f aca="false">N187+O186</f>
        <v>260000</v>
      </c>
      <c r="P187" s="71" t="n">
        <f aca="false">O187+P186</f>
        <v>260000</v>
      </c>
      <c r="Q187" s="71" t="n">
        <f aca="false">P187+Q186</f>
        <v>260000</v>
      </c>
      <c r="R187" s="71" t="n">
        <f aca="false">Q187+R186</f>
        <v>260000</v>
      </c>
      <c r="S187" s="71" t="n">
        <f aca="false">R187+S186</f>
        <v>260000</v>
      </c>
      <c r="T187" s="71" t="n">
        <f aca="false">S187+T186</f>
        <v>260000</v>
      </c>
      <c r="U187" s="71" t="n">
        <f aca="false">T187+U186</f>
        <v>260000</v>
      </c>
      <c r="V187" s="71" t="n">
        <f aca="false">U187+V186</f>
        <v>260000</v>
      </c>
      <c r="W187" s="71" t="n">
        <f aca="false">V187+W186</f>
        <v>260000</v>
      </c>
      <c r="X187" s="71" t="n">
        <f aca="false">W187+X186</f>
        <v>260000</v>
      </c>
      <c r="Y187" s="71" t="n">
        <f aca="false">X187+Y186</f>
        <v>260000</v>
      </c>
      <c r="Z187" s="71" t="n">
        <f aca="false">Y187+Z186</f>
        <v>260000</v>
      </c>
      <c r="AA187" s="71" t="n">
        <f aca="false">Z187+AA186</f>
        <v>260000</v>
      </c>
      <c r="AB187" s="71" t="n">
        <f aca="false">AA187+AB186</f>
        <v>260000</v>
      </c>
    </row>
    <row r="188" customFormat="false" ht="15" hidden="false" customHeight="false" outlineLevel="0" collapsed="false">
      <c r="A188" s="29" t="s">
        <v>841</v>
      </c>
      <c r="B188" s="60" t="s">
        <v>842</v>
      </c>
      <c r="C188" s="61" t="n">
        <f aca="false">SUM(E188:P188)</f>
        <v>11621.28</v>
      </c>
      <c r="D188" s="61" t="n">
        <f aca="false">SUM(Q188:AB188)</f>
        <v>0</v>
      </c>
      <c r="E188" s="62" t="n">
        <f aca="false">IF(E$5="A",Inputs_Actuals!E63,E18*Engagement_Register!$N$16*Assumptions!E$195)</f>
        <v>0</v>
      </c>
      <c r="F188" s="62" t="n">
        <f aca="false">IF(F$5="A",Inputs_Actuals!F63,F18*Engagement_Register!$N$16*Assumptions!F$195)</f>
        <v>0</v>
      </c>
      <c r="G188" s="62" t="n">
        <f aca="false">IF(G$5="A",Inputs_Actuals!G63,G18*Engagement_Register!$N$16*Assumptions!G$195)</f>
        <v>1309.6</v>
      </c>
      <c r="H188" s="62" t="n">
        <f aca="false">IF(H$5="A",Inputs_Actuals!H63,H18*Engagement_Register!$N$16*Assumptions!H$195)</f>
        <v>1410.85</v>
      </c>
      <c r="I188" s="62" t="n">
        <f aca="false">IF(I$5="A",Inputs_Actuals!I63,I18*Engagement_Register!$N$16*Assumptions!I$195)</f>
        <v>983.01</v>
      </c>
      <c r="J188" s="62" t="n">
        <f aca="false">IF(J$5="A",Inputs_Actuals!J63,J18*Engagement_Register!$N$16*Assumptions!J$195)</f>
        <v>1555.19</v>
      </c>
      <c r="K188" s="62" t="n">
        <f aca="false">IF(K$5="A",Inputs_Actuals!K63,K18*Engagement_Register!$N$16*Assumptions!K$195)</f>
        <v>1750.05</v>
      </c>
      <c r="L188" s="62" t="n">
        <f aca="false">IF(L$5="A",Inputs_Actuals!L63,L18*Engagement_Register!$N$16*Assumptions!L$195)</f>
        <v>1346.66</v>
      </c>
      <c r="M188" s="62" t="n">
        <f aca="false">IF(M$5="A",Inputs_Actuals!M63,M18*Engagement_Register!$N$16*Assumptions!M$195)</f>
        <v>1663.44192</v>
      </c>
      <c r="N188" s="62" t="n">
        <f aca="false">IF(N$5="A",Inputs_Actuals!N63,N18*Engagement_Register!$N$16*Assumptions!N$195)</f>
        <v>1602.47808</v>
      </c>
      <c r="O188" s="62" t="n">
        <f aca="false">IF(O$5="A",Inputs_Actuals!O63,O18*Engagement_Register!$N$16*Assumptions!O$195)</f>
        <v>0</v>
      </c>
      <c r="P188" s="62" t="n">
        <f aca="false">IF(P$5="A",Inputs_Actuals!P63,P18*Engagement_Register!$N$16*Assumptions!P$195)</f>
        <v>0</v>
      </c>
      <c r="Q188" s="62" t="n">
        <f aca="false">IF(Q$5="A",Inputs_Actuals!Q63,Q18*Engagement_Register!$N$16*Assumptions!Q$195)</f>
        <v>0</v>
      </c>
      <c r="R188" s="62" t="n">
        <f aca="false">IF(R$5="A",Inputs_Actuals!R63,R18*Engagement_Register!$N$16*Assumptions!R$195)</f>
        <v>0</v>
      </c>
      <c r="S188" s="62" t="n">
        <f aca="false">IF(S$5="A",Inputs_Actuals!S63,S18*Engagement_Register!$N$16*Assumptions!S$195)</f>
        <v>0</v>
      </c>
      <c r="T188" s="62" t="n">
        <f aca="false">IF(T$5="A",Inputs_Actuals!T63,T18*Engagement_Register!$N$16*Assumptions!T$195)</f>
        <v>0</v>
      </c>
      <c r="U188" s="62" t="n">
        <f aca="false">IF(U$5="A",Inputs_Actuals!U63,U18*Engagement_Register!$N$16*Assumptions!U$195)</f>
        <v>0</v>
      </c>
      <c r="V188" s="62" t="n">
        <f aca="false">IF(V$5="A",Inputs_Actuals!V63,V18*Engagement_Register!$N$16*Assumptions!V$195)</f>
        <v>0</v>
      </c>
      <c r="W188" s="62" t="n">
        <f aca="false">IF(W$5="A",Inputs_Actuals!W63,W18*Engagement_Register!$N$16*Assumptions!W$195)</f>
        <v>0</v>
      </c>
      <c r="X188" s="62" t="n">
        <f aca="false">IF(X$5="A",Inputs_Actuals!X63,X18*Engagement_Register!$N$16*Assumptions!X$195)</f>
        <v>0</v>
      </c>
      <c r="Y188" s="62" t="n">
        <f aca="false">IF(Y$5="A",Inputs_Actuals!Y63,Y18*Engagement_Register!$N$16*Assumptions!Y$195)</f>
        <v>0</v>
      </c>
      <c r="Z188" s="62" t="n">
        <f aca="false">IF(Z$5="A",Inputs_Actuals!Z63,Z18*Engagement_Register!$N$16*Assumptions!Z$195)</f>
        <v>0</v>
      </c>
      <c r="AA188" s="62" t="n">
        <f aca="false">IF(AA$5="A",Inputs_Actuals!AA63,AA18*Engagement_Register!$N$16*Assumptions!AA$195)</f>
        <v>0</v>
      </c>
      <c r="AB188" s="62" t="n">
        <f aca="false">IF(AB$5="A",Inputs_Actuals!AB63,AB18*Engagement_Register!$N$16*Assumptions!AB$195)</f>
        <v>0</v>
      </c>
    </row>
    <row r="189" customFormat="false" ht="15" hidden="false" customHeight="false" outlineLevel="0" collapsed="false">
      <c r="A189" s="29" t="s">
        <v>843</v>
      </c>
      <c r="B189" s="60" t="s">
        <v>844</v>
      </c>
      <c r="C189" s="61" t="n">
        <f aca="false">SUM(E189:P189)</f>
        <v>11621.28</v>
      </c>
      <c r="D189" s="61" t="n">
        <f aca="false">SUM(Q189:AB189)</f>
        <v>0</v>
      </c>
      <c r="E189" s="71" t="n">
        <f aca="false">E188</f>
        <v>0</v>
      </c>
      <c r="F189" s="71" t="n">
        <f aca="false">F188</f>
        <v>0</v>
      </c>
      <c r="G189" s="71" t="n">
        <f aca="false">G188</f>
        <v>1309.6</v>
      </c>
      <c r="H189" s="71" t="n">
        <f aca="false">H188</f>
        <v>1410.85</v>
      </c>
      <c r="I189" s="71" t="n">
        <f aca="false">I188</f>
        <v>983.01</v>
      </c>
      <c r="J189" s="71" t="n">
        <f aca="false">J188</f>
        <v>1555.19</v>
      </c>
      <c r="K189" s="71" t="n">
        <f aca="false">K188</f>
        <v>1750.05</v>
      </c>
      <c r="L189" s="71" t="n">
        <f aca="false">L188</f>
        <v>1346.66</v>
      </c>
      <c r="M189" s="71" t="n">
        <f aca="false">M188</f>
        <v>1663.44192</v>
      </c>
      <c r="N189" s="71" t="n">
        <f aca="false">N188</f>
        <v>1602.47808</v>
      </c>
      <c r="O189" s="71" t="n">
        <f aca="false">O188</f>
        <v>0</v>
      </c>
      <c r="P189" s="71" t="n">
        <f aca="false">P188</f>
        <v>0</v>
      </c>
      <c r="Q189" s="71" t="n">
        <f aca="false">Q188</f>
        <v>0</v>
      </c>
      <c r="R189" s="71" t="n">
        <f aca="false">R188</f>
        <v>0</v>
      </c>
      <c r="S189" s="71" t="n">
        <f aca="false">S188</f>
        <v>0</v>
      </c>
      <c r="T189" s="71" t="n">
        <f aca="false">T188</f>
        <v>0</v>
      </c>
      <c r="U189" s="71" t="n">
        <f aca="false">U188</f>
        <v>0</v>
      </c>
      <c r="V189" s="71" t="n">
        <f aca="false">V188</f>
        <v>0</v>
      </c>
      <c r="W189" s="71" t="n">
        <f aca="false">W188</f>
        <v>0</v>
      </c>
      <c r="X189" s="71" t="n">
        <f aca="false">X188</f>
        <v>0</v>
      </c>
      <c r="Y189" s="71" t="n">
        <f aca="false">Y188</f>
        <v>0</v>
      </c>
      <c r="Z189" s="71" t="n">
        <f aca="false">Z188</f>
        <v>0</v>
      </c>
      <c r="AA189" s="71" t="n">
        <f aca="false">AA188</f>
        <v>0</v>
      </c>
      <c r="AB189" s="71" t="n">
        <f aca="false">AB188</f>
        <v>0</v>
      </c>
    </row>
    <row r="190" customFormat="false" ht="15" hidden="false" customHeight="false" outlineLevel="0" collapsed="false">
      <c r="A190" s="29" t="s">
        <v>845</v>
      </c>
      <c r="B190" s="60" t="s">
        <v>846</v>
      </c>
      <c r="C190" s="61" t="n">
        <f aca="false">SUM(E190:P190)</f>
        <v>11621.28</v>
      </c>
      <c r="D190" s="61" t="n">
        <f aca="false">SUM(Q190:AB190)</f>
        <v>0</v>
      </c>
      <c r="E190" s="62" t="n">
        <f aca="false">IF(E$5="A",Inputs_Actuals!E64,0)</f>
        <v>0</v>
      </c>
      <c r="F190" s="62" t="n">
        <f aca="false">IF(F$5="A",Inputs_Actuals!F64,E189)</f>
        <v>0</v>
      </c>
      <c r="G190" s="62" t="n">
        <f aca="false">IF(G$5="A",Inputs_Actuals!G64,F189)</f>
        <v>0</v>
      </c>
      <c r="H190" s="62" t="n">
        <f aca="false">IF(H$5="A",Inputs_Actuals!H64,G189)</f>
        <v>1309.6</v>
      </c>
      <c r="I190" s="62" t="n">
        <f aca="false">IF(I$5="A",Inputs_Actuals!I64,H189)</f>
        <v>1410.85</v>
      </c>
      <c r="J190" s="62" t="n">
        <f aca="false">IF(J$5="A",Inputs_Actuals!J64,I189)</f>
        <v>983.01</v>
      </c>
      <c r="K190" s="62" t="n">
        <f aca="false">IF(K$5="A",Inputs_Actuals!K64,J189)</f>
        <v>1555.19</v>
      </c>
      <c r="L190" s="62" t="n">
        <f aca="false">IF(L$5="A",Inputs_Actuals!L64,K189)</f>
        <v>1750.05</v>
      </c>
      <c r="M190" s="62" t="n">
        <f aca="false">IF(M$5="A",Inputs_Actuals!M64,L189)</f>
        <v>1346.66</v>
      </c>
      <c r="N190" s="62" t="n">
        <f aca="false">IF(N$5="A",Inputs_Actuals!N64,M189)</f>
        <v>1663.44192</v>
      </c>
      <c r="O190" s="62" t="n">
        <f aca="false">IF(O$5="A",Inputs_Actuals!O64,N189)</f>
        <v>1602.47808</v>
      </c>
      <c r="P190" s="62" t="n">
        <f aca="false">IF(P$5="A",Inputs_Actuals!P64,O189)</f>
        <v>0</v>
      </c>
      <c r="Q190" s="62" t="n">
        <f aca="false">IF(Q$5="A",Inputs_Actuals!Q64,P189)</f>
        <v>0</v>
      </c>
      <c r="R190" s="62" t="n">
        <f aca="false">IF(R$5="A",Inputs_Actuals!R64,Q189)</f>
        <v>0</v>
      </c>
      <c r="S190" s="62" t="n">
        <f aca="false">IF(S$5="A",Inputs_Actuals!S64,R189)</f>
        <v>0</v>
      </c>
      <c r="T190" s="62" t="n">
        <f aca="false">IF(T$5="A",Inputs_Actuals!T64,S189)</f>
        <v>0</v>
      </c>
      <c r="U190" s="62" t="n">
        <f aca="false">IF(U$5="A",Inputs_Actuals!U64,T189)</f>
        <v>0</v>
      </c>
      <c r="V190" s="62" t="n">
        <f aca="false">IF(V$5="A",Inputs_Actuals!V64,U189)</f>
        <v>0</v>
      </c>
      <c r="W190" s="62" t="n">
        <f aca="false">IF(W$5="A",Inputs_Actuals!W64,V189)</f>
        <v>0</v>
      </c>
      <c r="X190" s="62" t="n">
        <f aca="false">IF(X$5="A",Inputs_Actuals!X64,W189)</f>
        <v>0</v>
      </c>
      <c r="Y190" s="62" t="n">
        <f aca="false">IF(Y$5="A",Inputs_Actuals!Y64,X189)</f>
        <v>0</v>
      </c>
      <c r="Z190" s="62" t="n">
        <f aca="false">IF(Z$5="A",Inputs_Actuals!Z64,Y189)</f>
        <v>0</v>
      </c>
      <c r="AA190" s="62" t="n">
        <f aca="false">IF(AA$5="A",Inputs_Actuals!AA64,Z189)</f>
        <v>0</v>
      </c>
      <c r="AB190" s="62" t="n">
        <f aca="false">IF(AB$5="A",Inputs_Actuals!AB64,AA189)</f>
        <v>0</v>
      </c>
    </row>
    <row r="191" customFormat="false" ht="15" hidden="false" customHeight="false" outlineLevel="0" collapsed="false">
      <c r="A191" s="29" t="s">
        <v>847</v>
      </c>
      <c r="B191" s="60" t="s">
        <v>848</v>
      </c>
      <c r="C191" s="61" t="n">
        <f aca="false">P191</f>
        <v>0</v>
      </c>
      <c r="D191" s="61" t="n">
        <f aca="false">AB191</f>
        <v>0</v>
      </c>
      <c r="E191" s="62" t="n">
        <f aca="false">Engagement_Register!$X$16+E185+E189-E190-E186</f>
        <v>0</v>
      </c>
      <c r="F191" s="71" t="n">
        <f aca="false">E191+F185+F189-F190-F186</f>
        <v>0</v>
      </c>
      <c r="G191" s="71" t="n">
        <f aca="false">F191+G185+G189-G190-G186</f>
        <v>35164.42</v>
      </c>
      <c r="H191" s="71" t="n">
        <f aca="false">G191+H185+H189-H190-H186</f>
        <v>31530.73</v>
      </c>
      <c r="I191" s="71" t="n">
        <f aca="false">H191+I185+I189-I190-I186</f>
        <v>27257.02</v>
      </c>
      <c r="J191" s="71" t="n">
        <f aca="false">I191+J185+J189-J190-J186</f>
        <v>33327.17</v>
      </c>
      <c r="K191" s="71" t="n">
        <f aca="false">J191+K185+K189-K190-K186</f>
        <v>36714.55</v>
      </c>
      <c r="L191" s="71" t="n">
        <f aca="false">K191+L185+L189-L190-L186</f>
        <v>25832.76</v>
      </c>
      <c r="M191" s="71" t="n">
        <f aca="false">L191+M185+M189-M190-M186</f>
        <v>30007.2418956097</v>
      </c>
      <c r="N191" s="71" t="n">
        <f aca="false">M191+N185+N189-N190-N186</f>
        <v>26942.83156448</v>
      </c>
      <c r="O191" s="71" t="n">
        <f aca="false">N191+O185+O189-O190-O186</f>
        <v>0</v>
      </c>
      <c r="P191" s="71" t="n">
        <f aca="false">O191+P185+P189-P190-P186</f>
        <v>0</v>
      </c>
      <c r="Q191" s="71" t="n">
        <f aca="false">P191+Q185+Q189-Q190-Q186</f>
        <v>0</v>
      </c>
      <c r="R191" s="71" t="n">
        <f aca="false">Q191+R185+R189-R190-R186</f>
        <v>0</v>
      </c>
      <c r="S191" s="71" t="n">
        <f aca="false">R191+S185+S189-S190-S186</f>
        <v>0</v>
      </c>
      <c r="T191" s="71" t="n">
        <f aca="false">S191+T185+T189-T190-T186</f>
        <v>0</v>
      </c>
      <c r="U191" s="71" t="n">
        <f aca="false">T191+U185+U189-U190-U186</f>
        <v>0</v>
      </c>
      <c r="V191" s="71" t="n">
        <f aca="false">U191+V185+V189-V190-V186</f>
        <v>0</v>
      </c>
      <c r="W191" s="71" t="n">
        <f aca="false">V191+W185+W189-W190-W186</f>
        <v>0</v>
      </c>
      <c r="X191" s="71" t="n">
        <f aca="false">W191+X185+X189-X190-X186</f>
        <v>0</v>
      </c>
      <c r="Y191" s="71" t="n">
        <f aca="false">X191+Y185+Y189-Y190-Y186</f>
        <v>0</v>
      </c>
      <c r="Z191" s="71" t="n">
        <f aca="false">Y191+Z185+Z189-Z190-Z186</f>
        <v>0</v>
      </c>
      <c r="AA191" s="71" t="n">
        <f aca="false">Z191+AA185+AA189-AA190-AA186</f>
        <v>0</v>
      </c>
      <c r="AB191" s="71" t="n">
        <f aca="false">AA191+AB185+AB189-AB190-AB186</f>
        <v>0</v>
      </c>
    </row>
    <row r="192" customFormat="false" ht="15" hidden="false" customHeight="false" outlineLevel="0" collapsed="false">
      <c r="A192" s="29" t="s">
        <v>849</v>
      </c>
      <c r="B192" s="60" t="s">
        <v>850</v>
      </c>
      <c r="C192" s="61" t="n">
        <f aca="false">P192</f>
        <v>0</v>
      </c>
      <c r="D192" s="61" t="n">
        <f aca="false">AB192</f>
        <v>0</v>
      </c>
      <c r="E192" s="62" t="n">
        <f aca="false">MAX(0,Engagement_Register!$AP$16-E184)</f>
        <v>260000</v>
      </c>
      <c r="F192" s="62" t="n">
        <f aca="false">MAX(0,Engagement_Register!$AP$16-F184)</f>
        <v>260000</v>
      </c>
      <c r="G192" s="62" t="n">
        <f aca="false">MAX(0,Engagement_Register!$AP$16-G184)</f>
        <v>226145.18</v>
      </c>
      <c r="H192" s="62" t="n">
        <f aca="false">MAX(0,Engagement_Register!$AP$16-H184)</f>
        <v>196025.3</v>
      </c>
      <c r="I192" s="62" t="n">
        <f aca="false">MAX(0,Engagement_Register!$AP$16-I184)</f>
        <v>169751.29</v>
      </c>
      <c r="J192" s="62" t="n">
        <f aca="false">MAX(0,Engagement_Register!$AP$16-J184)</f>
        <v>137979.31</v>
      </c>
      <c r="K192" s="62" t="n">
        <f aca="false">MAX(0,Engagement_Register!$AP$16-K184)</f>
        <v>99212.41</v>
      </c>
      <c r="L192" s="62" t="n">
        <f aca="false">MAX(0,Engagement_Register!$AP$16-L184)</f>
        <v>69715.86</v>
      </c>
      <c r="M192" s="62" t="n">
        <f aca="false">MAX(0,Engagement_Register!$AP$16-M184)</f>
        <v>35442.4390243902</v>
      </c>
      <c r="N192" s="62" t="n">
        <f aca="false">MAX(0,Engagement_Register!$AP$16-N184)</f>
        <v>0</v>
      </c>
      <c r="O192" s="62" t="n">
        <f aca="false">MAX(0,Engagement_Register!$AP$16-O184)</f>
        <v>0</v>
      </c>
      <c r="P192" s="62" t="n">
        <f aca="false">MAX(0,Engagement_Register!$AP$16-P184)</f>
        <v>0</v>
      </c>
      <c r="Q192" s="62" t="n">
        <f aca="false">MAX(0,Engagement_Register!$AP$16-Q184)</f>
        <v>0</v>
      </c>
      <c r="R192" s="62" t="n">
        <f aca="false">MAX(0,Engagement_Register!$AP$16-R184)</f>
        <v>0</v>
      </c>
      <c r="S192" s="62" t="n">
        <f aca="false">MAX(0,Engagement_Register!$AP$16-S184)</f>
        <v>0</v>
      </c>
      <c r="T192" s="62" t="n">
        <f aca="false">MAX(0,Engagement_Register!$AP$16-T184)</f>
        <v>0</v>
      </c>
      <c r="U192" s="62" t="n">
        <f aca="false">MAX(0,Engagement_Register!$AP$16-U184)</f>
        <v>0</v>
      </c>
      <c r="V192" s="62" t="n">
        <f aca="false">MAX(0,Engagement_Register!$AP$16-V184)</f>
        <v>0</v>
      </c>
      <c r="W192" s="62" t="n">
        <f aca="false">MAX(0,Engagement_Register!$AP$16-W184)</f>
        <v>0</v>
      </c>
      <c r="X192" s="62" t="n">
        <f aca="false">MAX(0,Engagement_Register!$AP$16-X184)</f>
        <v>0</v>
      </c>
      <c r="Y192" s="62" t="n">
        <f aca="false">MAX(0,Engagement_Register!$AP$16-Y184)</f>
        <v>0</v>
      </c>
      <c r="Z192" s="62" t="n">
        <f aca="false">MAX(0,Engagement_Register!$AP$16-Z184)</f>
        <v>0</v>
      </c>
      <c r="AA192" s="62" t="n">
        <f aca="false">MAX(0,Engagement_Register!$AP$16-AA184)</f>
        <v>0</v>
      </c>
      <c r="AB192" s="62" t="n">
        <f aca="false">MAX(0,Engagement_Register!$AP$16-AB184)</f>
        <v>0</v>
      </c>
    </row>
    <row r="193" customFormat="false" ht="15" hidden="false" customHeight="false" outlineLevel="0" collapsed="false">
      <c r="A193" s="29" t="s">
        <v>861</v>
      </c>
      <c r="B193" s="60" t="s">
        <v>862</v>
      </c>
      <c r="E193" s="62" t="n">
        <f aca="false">IF(E$5="A",ROUND(E184-IF(E183+(E179-E178)*Engagement_Register!$AE$16&gt;Engagement_Register!$AP$16,Engagement_Register!$AP$16*E180,E183),0),0)</f>
        <v>0</v>
      </c>
      <c r="F193" s="62" t="n">
        <f aca="false">IF(F$5="A",ROUND(F184-IF(F183+(F179-F178)*Engagement_Register!$AE$16&gt;Engagement_Register!$AP$16,Engagement_Register!$AP$16*F180,F183),0),0)</f>
        <v>0</v>
      </c>
      <c r="G193" s="62" t="n">
        <f aca="false">IF(G$5="A",ROUND(G184-IF(G183+(G179-G178)*Engagement_Register!$AE$16&gt;Engagement_Register!$AP$16,Engagement_Register!$AP$16*G180,G183),0),0)</f>
        <v>-0</v>
      </c>
      <c r="H193" s="62" t="n">
        <f aca="false">IF(H$5="A",ROUND(H184-IF(H183+(H179-H178)*Engagement_Register!$AE$16&gt;Engagement_Register!$AP$16,Engagement_Register!$AP$16*H180,H183),0),0)</f>
        <v>-0</v>
      </c>
      <c r="I193" s="62" t="n">
        <f aca="false">IF(I$5="A",ROUND(I184-IF(I183+(I179-I178)*Engagement_Register!$AE$16&gt;Engagement_Register!$AP$16,Engagement_Register!$AP$16*I180,I183),0),0)</f>
        <v>-0</v>
      </c>
      <c r="J193" s="62" t="n">
        <f aca="false">IF(J$5="A",ROUND(J184-IF(J183+(J179-J178)*Engagement_Register!$AE$16&gt;Engagement_Register!$AP$16,Engagement_Register!$AP$16*J180,J183),0),0)</f>
        <v>0</v>
      </c>
      <c r="K193" s="62" t="n">
        <f aca="false">IF(K$5="A",ROUND(K184-IF(K183+(K179-K178)*Engagement_Register!$AE$16&gt;Engagement_Register!$AP$16,Engagement_Register!$AP$16*K180,K183),0),0)</f>
        <v>0</v>
      </c>
      <c r="L193" s="62" t="n">
        <f aca="false">IF(L$5="A",ROUND(L184-IF(L183+(L179-L178)*Engagement_Register!$AE$16&gt;Engagement_Register!$AP$16,Engagement_Register!$AP$16*L180,L183),0),0)</f>
        <v>0</v>
      </c>
      <c r="M193" s="62" t="n">
        <f aca="false">IF(M$5="A",ROUND(M184-IF(M183+(M179-M178)*Engagement_Register!$AE$16&gt;Engagement_Register!$AP$16,Engagement_Register!$AP$16*M180,M183),0),0)</f>
        <v>0</v>
      </c>
      <c r="N193" s="62" t="n">
        <f aca="false">IF(N$5="A",ROUND(N184-IF(N183+(N179-N178)*Engagement_Register!$AE$16&gt;Engagement_Register!$AP$16,Engagement_Register!$AP$16*N180,N183),0),0)</f>
        <v>0</v>
      </c>
      <c r="O193" s="62" t="n">
        <f aca="false">IF(O$5="A",ROUND(O184-IF(O183+(O179-O178)*Engagement_Register!$AE$16&gt;Engagement_Register!$AP$16,Engagement_Register!$AP$16*O180,O183),0),0)</f>
        <v>0</v>
      </c>
      <c r="P193" s="62" t="n">
        <f aca="false">IF(P$5="A",ROUND(P184-IF(P183+(P179-P178)*Engagement_Register!$AE$16&gt;Engagement_Register!$AP$16,Engagement_Register!$AP$16*P180,P183),0),0)</f>
        <v>0</v>
      </c>
      <c r="Q193" s="62" t="n">
        <f aca="false">IF(Q$5="A",ROUND(Q184-IF(Q183+(Q179-Q178)*Engagement_Register!$AE$16&gt;Engagement_Register!$AP$16,Engagement_Register!$AP$16*Q180,Q183),0),0)</f>
        <v>0</v>
      </c>
      <c r="R193" s="62" t="n">
        <f aca="false">IF(R$5="A",ROUND(R184-IF(R183+(R179-R178)*Engagement_Register!$AE$16&gt;Engagement_Register!$AP$16,Engagement_Register!$AP$16*R180,R183),0),0)</f>
        <v>0</v>
      </c>
      <c r="S193" s="62" t="n">
        <f aca="false">IF(S$5="A",ROUND(S184-IF(S183+(S179-S178)*Engagement_Register!$AE$16&gt;Engagement_Register!$AP$16,Engagement_Register!$AP$16*S180,S183),0),0)</f>
        <v>0</v>
      </c>
      <c r="T193" s="62" t="n">
        <f aca="false">IF(T$5="A",ROUND(T184-IF(T183+(T179-T178)*Engagement_Register!$AE$16&gt;Engagement_Register!$AP$16,Engagement_Register!$AP$16*T180,T183),0),0)</f>
        <v>0</v>
      </c>
      <c r="U193" s="62" t="n">
        <f aca="false">IF(U$5="A",ROUND(U184-IF(U183+(U179-U178)*Engagement_Register!$AE$16&gt;Engagement_Register!$AP$16,Engagement_Register!$AP$16*U180,U183),0),0)</f>
        <v>0</v>
      </c>
      <c r="V193" s="62" t="n">
        <f aca="false">IF(V$5="A",ROUND(V184-IF(V183+(V179-V178)*Engagement_Register!$AE$16&gt;Engagement_Register!$AP$16,Engagement_Register!$AP$16*V180,V183),0),0)</f>
        <v>0</v>
      </c>
      <c r="W193" s="62" t="n">
        <f aca="false">IF(W$5="A",ROUND(W184-IF(W183+(W179-W178)*Engagement_Register!$AE$16&gt;Engagement_Register!$AP$16,Engagement_Register!$AP$16*W180,W183),0),0)</f>
        <v>0</v>
      </c>
      <c r="X193" s="62" t="n">
        <f aca="false">IF(X$5="A",ROUND(X184-IF(X183+(X179-X178)*Engagement_Register!$AE$16&gt;Engagement_Register!$AP$16,Engagement_Register!$AP$16*X180,X183),0),0)</f>
        <v>0</v>
      </c>
      <c r="Y193" s="62" t="n">
        <f aca="false">IF(Y$5="A",ROUND(Y184-IF(Y183+(Y179-Y178)*Engagement_Register!$AE$16&gt;Engagement_Register!$AP$16,Engagement_Register!$AP$16*Y180,Y183),0),0)</f>
        <v>0</v>
      </c>
      <c r="Z193" s="62" t="n">
        <f aca="false">IF(Z$5="A",ROUND(Z184-IF(Z183+(Z179-Z178)*Engagement_Register!$AE$16&gt;Engagement_Register!$AP$16,Engagement_Register!$AP$16*Z180,Z183),0),0)</f>
        <v>0</v>
      </c>
      <c r="AA193" s="62" t="n">
        <f aca="false">IF(AA$5="A",ROUND(AA184-IF(AA183+(AA179-AA178)*Engagement_Register!$AE$16&gt;Engagement_Register!$AP$16,Engagement_Register!$AP$16*AA180,AA183),0),0)</f>
        <v>0</v>
      </c>
      <c r="AB193" s="62" t="n">
        <f aca="false">IF(AB$5="A",ROUND(AB184-IF(AB183+(AB179-AB178)*Engagement_Register!$AE$16&gt;Engagement_Register!$AP$16,Engagement_Register!$AP$16*AB180,AB183),0),0)</f>
        <v>0</v>
      </c>
    </row>
    <row r="195" customFormat="false" ht="15" hidden="false" customHeight="false" outlineLevel="0" collapsed="false">
      <c r="A195" s="23" t="s">
        <v>876</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row>
    <row r="196" customFormat="false" ht="15" hidden="false" customHeight="false" outlineLevel="0" collapsed="false">
      <c r="A196" s="29" t="s">
        <v>736</v>
      </c>
      <c r="B196" s="60" t="s">
        <v>832</v>
      </c>
      <c r="C196" s="66" t="n">
        <f aca="false">P196</f>
        <v>888.755</v>
      </c>
      <c r="D196" s="66" t="n">
        <f aca="false">AB196</f>
        <v>888.755</v>
      </c>
      <c r="E196" s="67" t="n">
        <f aca="false">Engagement_Register!$T$17+E19</f>
        <v>0</v>
      </c>
      <c r="F196" s="72" t="n">
        <f aca="false">E196+F19</f>
        <v>0</v>
      </c>
      <c r="G196" s="72" t="n">
        <f aca="false">F196+G19</f>
        <v>0</v>
      </c>
      <c r="H196" s="72" t="n">
        <f aca="false">G196+H19</f>
        <v>133.7</v>
      </c>
      <c r="I196" s="72" t="n">
        <f aca="false">H196+I19</f>
        <v>250.6</v>
      </c>
      <c r="J196" s="72" t="n">
        <f aca="false">I196+J19</f>
        <v>395.9</v>
      </c>
      <c r="K196" s="72" t="n">
        <f aca="false">J196+K19</f>
        <v>574.7</v>
      </c>
      <c r="L196" s="72" t="n">
        <f aca="false">K196+L19</f>
        <v>704.9</v>
      </c>
      <c r="M196" s="72" t="n">
        <f aca="false">L196+M19</f>
        <v>888.755</v>
      </c>
      <c r="N196" s="72" t="n">
        <f aca="false">M196+N19</f>
        <v>888.755</v>
      </c>
      <c r="O196" s="72" t="n">
        <f aca="false">N196+O19</f>
        <v>888.755</v>
      </c>
      <c r="P196" s="72" t="n">
        <f aca="false">O196+P19</f>
        <v>888.755</v>
      </c>
      <c r="Q196" s="72" t="n">
        <f aca="false">P196+Q19</f>
        <v>888.755</v>
      </c>
      <c r="R196" s="72" t="n">
        <f aca="false">Q196+R19</f>
        <v>888.755</v>
      </c>
      <c r="S196" s="72" t="n">
        <f aca="false">R196+S19</f>
        <v>888.755</v>
      </c>
      <c r="T196" s="72" t="n">
        <f aca="false">S196+T19</f>
        <v>888.755</v>
      </c>
      <c r="U196" s="72" t="n">
        <f aca="false">T196+U19</f>
        <v>888.755</v>
      </c>
      <c r="V196" s="72" t="n">
        <f aca="false">U196+V19</f>
        <v>888.755</v>
      </c>
      <c r="W196" s="72" t="n">
        <f aca="false">V196+W19</f>
        <v>888.755</v>
      </c>
      <c r="X196" s="72" t="n">
        <f aca="false">W196+X19</f>
        <v>888.755</v>
      </c>
      <c r="Y196" s="72" t="n">
        <f aca="false">X196+Y19</f>
        <v>888.755</v>
      </c>
      <c r="Z196" s="72" t="n">
        <f aca="false">Y196+Z19</f>
        <v>888.755</v>
      </c>
      <c r="AA196" s="72" t="n">
        <f aca="false">Z196+AA19</f>
        <v>888.755</v>
      </c>
      <c r="AB196" s="72" t="n">
        <f aca="false">AA196+AB19</f>
        <v>888.755</v>
      </c>
    </row>
    <row r="197" customFormat="false" ht="15" hidden="false" customHeight="false" outlineLevel="0" collapsed="false">
      <c r="A197" s="29" t="s">
        <v>852</v>
      </c>
      <c r="B197" s="60" t="s">
        <v>853</v>
      </c>
      <c r="C197" s="66" t="n">
        <f aca="false">P197</f>
        <v>888.755</v>
      </c>
      <c r="D197" s="66" t="n">
        <f aca="false">AB197</f>
        <v>888.755</v>
      </c>
      <c r="E197" s="67" t="n">
        <f aca="false">IF(E$5="A",IF(E196+N(Inputs_Actuals!E66)&lt;=0,Engagement_Register!$AM$17,E196+N(Inputs_Actuals!E66)),Engagement_Register!$AM$17)</f>
        <v>888.755</v>
      </c>
      <c r="F197" s="67" t="n">
        <f aca="false">IF(F$5="A",IF(F196+N(Inputs_Actuals!F66)&lt;=0,Engagement_Register!$AM$17,F196+N(Inputs_Actuals!F66)),Engagement_Register!$AM$17)</f>
        <v>888.755</v>
      </c>
      <c r="G197" s="67" t="n">
        <f aca="false">IF(G$5="A",IF(G196+N(Inputs_Actuals!G66)&lt;=0,Engagement_Register!$AM$17,G196+N(Inputs_Actuals!G66)),Engagement_Register!$AM$17)</f>
        <v>888.755</v>
      </c>
      <c r="H197" s="67" t="n">
        <f aca="false">IF(H$5="A",IF(H196+N(Inputs_Actuals!H66)&lt;=0,Engagement_Register!$AM$17,H196+N(Inputs_Actuals!H66)),Engagement_Register!$AM$17)</f>
        <v>840</v>
      </c>
      <c r="I197" s="67" t="n">
        <f aca="false">IF(I$5="A",IF(I196+N(Inputs_Actuals!I66)&lt;=0,Engagement_Register!$AM$17,I196+N(Inputs_Actuals!I66)),Engagement_Register!$AM$17)</f>
        <v>840</v>
      </c>
      <c r="J197" s="67" t="n">
        <f aca="false">IF(J$5="A",IF(J196+N(Inputs_Actuals!J66)&lt;=0,Engagement_Register!$AM$17,J196+N(Inputs_Actuals!J66)),Engagement_Register!$AM$17)</f>
        <v>840</v>
      </c>
      <c r="K197" s="67" t="n">
        <f aca="false">IF(K$5="A",IF(K196+N(Inputs_Actuals!K66)&lt;=0,Engagement_Register!$AM$17,K196+N(Inputs_Actuals!K66)),Engagement_Register!$AM$17)</f>
        <v>880</v>
      </c>
      <c r="L197" s="67" t="n">
        <f aca="false">IF(L$5="A",IF(L196+N(Inputs_Actuals!L66)&lt;=0,Engagement_Register!$AM$17,L196+N(Inputs_Actuals!L66)),Engagement_Register!$AM$17)</f>
        <v>880</v>
      </c>
      <c r="M197" s="67" t="n">
        <f aca="false">IF(M$5="A",IF(M196+N(Inputs_Actuals!M66)&lt;=0,Engagement_Register!$AM$17,M196+N(Inputs_Actuals!M66)),Engagement_Register!$AM$17)</f>
        <v>888.755</v>
      </c>
      <c r="N197" s="67" t="n">
        <f aca="false">IF(N$5="A",IF(N196+N(Inputs_Actuals!N66)&lt;=0,Engagement_Register!$AM$17,N196+N(Inputs_Actuals!N66)),Engagement_Register!$AM$17)</f>
        <v>888.755</v>
      </c>
      <c r="O197" s="67" t="n">
        <f aca="false">IF(O$5="A",IF(O196+N(Inputs_Actuals!O66)&lt;=0,Engagement_Register!$AM$17,O196+N(Inputs_Actuals!O66)),Engagement_Register!$AM$17)</f>
        <v>888.755</v>
      </c>
      <c r="P197" s="67" t="n">
        <f aca="false">IF(P$5="A",IF(P196+N(Inputs_Actuals!P66)&lt;=0,Engagement_Register!$AM$17,P196+N(Inputs_Actuals!P66)),Engagement_Register!$AM$17)</f>
        <v>888.755</v>
      </c>
      <c r="Q197" s="67" t="n">
        <f aca="false">IF(Q$5="A",IF(Q196+N(Inputs_Actuals!Q66)&lt;=0,Engagement_Register!$AM$17,Q196+N(Inputs_Actuals!Q66)),Engagement_Register!$AM$17)</f>
        <v>888.755</v>
      </c>
      <c r="R197" s="67" t="n">
        <f aca="false">IF(R$5="A",IF(R196+N(Inputs_Actuals!R66)&lt;=0,Engagement_Register!$AM$17,R196+N(Inputs_Actuals!R66)),Engagement_Register!$AM$17)</f>
        <v>888.755</v>
      </c>
      <c r="S197" s="67" t="n">
        <f aca="false">IF(S$5="A",IF(S196+N(Inputs_Actuals!S66)&lt;=0,Engagement_Register!$AM$17,S196+N(Inputs_Actuals!S66)),Engagement_Register!$AM$17)</f>
        <v>888.755</v>
      </c>
      <c r="T197" s="67" t="n">
        <f aca="false">IF(T$5="A",IF(T196+N(Inputs_Actuals!T66)&lt;=0,Engagement_Register!$AM$17,T196+N(Inputs_Actuals!T66)),Engagement_Register!$AM$17)</f>
        <v>888.755</v>
      </c>
      <c r="U197" s="67" t="n">
        <f aca="false">IF(U$5="A",IF(U196+N(Inputs_Actuals!U66)&lt;=0,Engagement_Register!$AM$17,U196+N(Inputs_Actuals!U66)),Engagement_Register!$AM$17)</f>
        <v>888.755</v>
      </c>
      <c r="V197" s="67" t="n">
        <f aca="false">IF(V$5="A",IF(V196+N(Inputs_Actuals!V66)&lt;=0,Engagement_Register!$AM$17,V196+N(Inputs_Actuals!V66)),Engagement_Register!$AM$17)</f>
        <v>888.755</v>
      </c>
      <c r="W197" s="67" t="n">
        <f aca="false">IF(W$5="A",IF(W196+N(Inputs_Actuals!W66)&lt;=0,Engagement_Register!$AM$17,W196+N(Inputs_Actuals!W66)),Engagement_Register!$AM$17)</f>
        <v>888.755</v>
      </c>
      <c r="X197" s="67" t="n">
        <f aca="false">IF(X$5="A",IF(X196+N(Inputs_Actuals!X66)&lt;=0,Engagement_Register!$AM$17,X196+N(Inputs_Actuals!X66)),Engagement_Register!$AM$17)</f>
        <v>888.755</v>
      </c>
      <c r="Y197" s="67" t="n">
        <f aca="false">IF(Y$5="A",IF(Y196+N(Inputs_Actuals!Y66)&lt;=0,Engagement_Register!$AM$17,Y196+N(Inputs_Actuals!Y66)),Engagement_Register!$AM$17)</f>
        <v>888.755</v>
      </c>
      <c r="Z197" s="67" t="n">
        <f aca="false">IF(Z$5="A",IF(Z196+N(Inputs_Actuals!Z66)&lt;=0,Engagement_Register!$AM$17,Z196+N(Inputs_Actuals!Z66)),Engagement_Register!$AM$17)</f>
        <v>888.755</v>
      </c>
      <c r="AA197" s="67" t="n">
        <f aca="false">IF(AA$5="A",IF(AA196+N(Inputs_Actuals!AA66)&lt;=0,Engagement_Register!$AM$17,AA196+N(Inputs_Actuals!AA66)),Engagement_Register!$AM$17)</f>
        <v>888.755</v>
      </c>
      <c r="AB197" s="67" t="n">
        <f aca="false">IF(AB$5="A",IF(AB196+N(Inputs_Actuals!AB66)&lt;=0,Engagement_Register!$AM$17,AB196+N(Inputs_Actuals!AB66)),Engagement_Register!$AM$17)</f>
        <v>888.755</v>
      </c>
    </row>
    <row r="198" customFormat="false" ht="15" hidden="false" customHeight="false" outlineLevel="0" collapsed="false">
      <c r="A198" s="29" t="s">
        <v>854</v>
      </c>
      <c r="B198" s="60" t="s">
        <v>855</v>
      </c>
      <c r="C198" s="63" t="n">
        <f aca="false">P198</f>
        <v>1</v>
      </c>
      <c r="D198" s="63" t="n">
        <f aca="false">AB198</f>
        <v>1</v>
      </c>
      <c r="E198" s="64" t="n">
        <f aca="false">IF(E197&lt;=0,0,MIN(1,E196/E197))</f>
        <v>0</v>
      </c>
      <c r="F198" s="64" t="n">
        <f aca="false">IF(F197&lt;=0,0,MIN(1,F196/F197))</f>
        <v>0</v>
      </c>
      <c r="G198" s="64" t="n">
        <f aca="false">IF(G197&lt;=0,0,MIN(1,G196/G197))</f>
        <v>0</v>
      </c>
      <c r="H198" s="64" t="n">
        <f aca="false">IF(H197&lt;=0,0,MIN(1,H196/H197))</f>
        <v>0.159166666666667</v>
      </c>
      <c r="I198" s="64" t="n">
        <f aca="false">IF(I197&lt;=0,0,MIN(1,I196/I197))</f>
        <v>0.298333333333333</v>
      </c>
      <c r="J198" s="64" t="n">
        <f aca="false">IF(J197&lt;=0,0,MIN(1,J196/J197))</f>
        <v>0.471309523809524</v>
      </c>
      <c r="K198" s="64" t="n">
        <f aca="false">IF(K197&lt;=0,0,MIN(1,K196/K197))</f>
        <v>0.653068181818182</v>
      </c>
      <c r="L198" s="64" t="n">
        <f aca="false">IF(L197&lt;=0,0,MIN(1,L196/L197))</f>
        <v>0.801022727272727</v>
      </c>
      <c r="M198" s="64" t="n">
        <f aca="false">IF(M197&lt;=0,0,MIN(1,M196/M197))</f>
        <v>1</v>
      </c>
      <c r="N198" s="64" t="n">
        <f aca="false">IF(N197&lt;=0,0,MIN(1,N196/N197))</f>
        <v>1</v>
      </c>
      <c r="O198" s="64" t="n">
        <f aca="false">IF(O197&lt;=0,0,MIN(1,O196/O197))</f>
        <v>1</v>
      </c>
      <c r="P198" s="64" t="n">
        <f aca="false">IF(P197&lt;=0,0,MIN(1,P196/P197))</f>
        <v>1</v>
      </c>
      <c r="Q198" s="64" t="n">
        <f aca="false">IF(Q197&lt;=0,0,MIN(1,Q196/Q197))</f>
        <v>1</v>
      </c>
      <c r="R198" s="64" t="n">
        <f aca="false">IF(R197&lt;=0,0,MIN(1,R196/R197))</f>
        <v>1</v>
      </c>
      <c r="S198" s="64" t="n">
        <f aca="false">IF(S197&lt;=0,0,MIN(1,S196/S197))</f>
        <v>1</v>
      </c>
      <c r="T198" s="64" t="n">
        <f aca="false">IF(T197&lt;=0,0,MIN(1,T196/T197))</f>
        <v>1</v>
      </c>
      <c r="U198" s="64" t="n">
        <f aca="false">IF(U197&lt;=0,0,MIN(1,U196/U197))</f>
        <v>1</v>
      </c>
      <c r="V198" s="64" t="n">
        <f aca="false">IF(V197&lt;=0,0,MIN(1,V196/V197))</f>
        <v>1</v>
      </c>
      <c r="W198" s="64" t="n">
        <f aca="false">IF(W197&lt;=0,0,MIN(1,W196/W197))</f>
        <v>1</v>
      </c>
      <c r="X198" s="64" t="n">
        <f aca="false">IF(X197&lt;=0,0,MIN(1,X196/X197))</f>
        <v>1</v>
      </c>
      <c r="Y198" s="64" t="n">
        <f aca="false">IF(Y197&lt;=0,0,MIN(1,Y196/Y197))</f>
        <v>1</v>
      </c>
      <c r="Z198" s="64" t="n">
        <f aca="false">IF(Z197&lt;=0,0,MIN(1,Z196/Z197))</f>
        <v>1</v>
      </c>
      <c r="AA198" s="64" t="n">
        <f aca="false">IF(AA197&lt;=0,0,MIN(1,AA196/AA197))</f>
        <v>1</v>
      </c>
      <c r="AB198" s="64" t="n">
        <f aca="false">IF(AB197&lt;=0,0,MIN(1,AB196/AB197))</f>
        <v>1</v>
      </c>
    </row>
    <row r="199" customFormat="false" ht="15" hidden="false" customHeight="false" outlineLevel="0" collapsed="false">
      <c r="A199" s="29" t="s">
        <v>833</v>
      </c>
      <c r="B199" s="60" t="s">
        <v>834</v>
      </c>
      <c r="C199" s="61" t="n">
        <f aca="false">SUM(E199:P199)</f>
        <v>183616.783</v>
      </c>
      <c r="D199" s="61" t="n">
        <f aca="false">SUM(Q199:AB199)</f>
        <v>0</v>
      </c>
      <c r="E199" s="62" t="n">
        <f aca="false">E19*Engagement_Register!$AD$17*Assumptions!E$194</f>
        <v>0</v>
      </c>
      <c r="F199" s="62" t="n">
        <f aca="false">F19*Engagement_Register!$AD$17*Assumptions!F$194</f>
        <v>0</v>
      </c>
      <c r="G199" s="62" t="n">
        <f aca="false">G19*Engagement_Register!$AD$17*Assumptions!G$194</f>
        <v>0</v>
      </c>
      <c r="H199" s="62" t="n">
        <f aca="false">H19*Engagement_Register!$AD$17*Assumptions!H$194</f>
        <v>27622.42</v>
      </c>
      <c r="I199" s="62" t="n">
        <f aca="false">I19*Engagement_Register!$AD$17*Assumptions!I$194</f>
        <v>24151.54</v>
      </c>
      <c r="J199" s="62" t="n">
        <f aca="false">J19*Engagement_Register!$AD$17*Assumptions!J$194</f>
        <v>30018.98</v>
      </c>
      <c r="K199" s="62" t="n">
        <f aca="false">K19*Engagement_Register!$AD$17*Assumptions!K$194</f>
        <v>36940.08</v>
      </c>
      <c r="L199" s="62" t="n">
        <f aca="false">L19*Engagement_Register!$AD$17*Assumptions!L$194</f>
        <v>26899.32</v>
      </c>
      <c r="M199" s="62" t="n">
        <f aca="false">M19*Engagement_Register!$AD$17*Assumptions!M$194</f>
        <v>37984.443</v>
      </c>
      <c r="N199" s="62" t="n">
        <f aca="false">N19*Engagement_Register!$AD$17*Assumptions!N$194</f>
        <v>0</v>
      </c>
      <c r="O199" s="62" t="n">
        <f aca="false">O19*Engagement_Register!$AD$17*Assumptions!O$194</f>
        <v>0</v>
      </c>
      <c r="P199" s="62" t="n">
        <f aca="false">P19*Engagement_Register!$AD$17*Assumptions!P$194</f>
        <v>0</v>
      </c>
      <c r="Q199" s="62" t="n">
        <f aca="false">Q19*Engagement_Register!$AD$17*Assumptions!Q$194</f>
        <v>0</v>
      </c>
      <c r="R199" s="62" t="n">
        <f aca="false">R19*Engagement_Register!$AD$17*Assumptions!R$194</f>
        <v>0</v>
      </c>
      <c r="S199" s="62" t="n">
        <f aca="false">S19*Engagement_Register!$AD$17*Assumptions!S$194</f>
        <v>0</v>
      </c>
      <c r="T199" s="62" t="n">
        <f aca="false">T19*Engagement_Register!$AD$17*Assumptions!T$194</f>
        <v>0</v>
      </c>
      <c r="U199" s="62" t="n">
        <f aca="false">U19*Engagement_Register!$AD$17*Assumptions!U$194</f>
        <v>0</v>
      </c>
      <c r="V199" s="62" t="n">
        <f aca="false">V19*Engagement_Register!$AD$17*Assumptions!V$194</f>
        <v>0</v>
      </c>
      <c r="W199" s="62" t="n">
        <f aca="false">W19*Engagement_Register!$AD$17*Assumptions!W$194</f>
        <v>0</v>
      </c>
      <c r="X199" s="62" t="n">
        <f aca="false">X19*Engagement_Register!$AD$17*Assumptions!X$194</f>
        <v>0</v>
      </c>
      <c r="Y199" s="62" t="n">
        <f aca="false">Y19*Engagement_Register!$AD$17*Assumptions!Y$194</f>
        <v>0</v>
      </c>
      <c r="Z199" s="62" t="n">
        <f aca="false">Z19*Engagement_Register!$AD$17*Assumptions!Z$194</f>
        <v>0</v>
      </c>
      <c r="AA199" s="62" t="n">
        <f aca="false">AA19*Engagement_Register!$AD$17*Assumptions!AA$194</f>
        <v>0</v>
      </c>
      <c r="AB199" s="62" t="n">
        <f aca="false">AB19*Engagement_Register!$AD$17*Assumptions!AB$194</f>
        <v>0</v>
      </c>
    </row>
    <row r="200" customFormat="false" ht="15" hidden="false" customHeight="false" outlineLevel="0" collapsed="false">
      <c r="A200" s="29" t="s">
        <v>835</v>
      </c>
      <c r="B200" s="60" t="s">
        <v>865</v>
      </c>
      <c r="C200" s="61" t="n">
        <f aca="false">SUM(E200:P200)</f>
        <v>174576.875</v>
      </c>
      <c r="D200" s="61" t="n">
        <f aca="false">SUM(Q200:AB200)</f>
        <v>0</v>
      </c>
      <c r="E200" s="62" t="n">
        <f aca="false">E19*Engagement_Register!$AE$17</f>
        <v>0</v>
      </c>
      <c r="F200" s="62" t="n">
        <f aca="false">F19*Engagement_Register!$AE$17</f>
        <v>0</v>
      </c>
      <c r="G200" s="62" t="n">
        <f aca="false">G19*Engagement_Register!$AE$17</f>
        <v>0</v>
      </c>
      <c r="H200" s="62" t="n">
        <f aca="false">H19*Engagement_Register!$AE$17</f>
        <v>26262.5</v>
      </c>
      <c r="I200" s="62" t="n">
        <f aca="false">I19*Engagement_Register!$AE$17</f>
        <v>22962.5</v>
      </c>
      <c r="J200" s="62" t="n">
        <f aca="false">J19*Engagement_Register!$AE$17</f>
        <v>28541.0714285714</v>
      </c>
      <c r="K200" s="62" t="n">
        <f aca="false">K19*Engagement_Register!$AE$17</f>
        <v>35121.4285714286</v>
      </c>
      <c r="L200" s="62" t="n">
        <f aca="false">L19*Engagement_Register!$AE$17</f>
        <v>25575</v>
      </c>
      <c r="M200" s="62" t="n">
        <f aca="false">M19*Engagement_Register!$AE$17</f>
        <v>36114.375</v>
      </c>
      <c r="N200" s="62" t="n">
        <f aca="false">N19*Engagement_Register!$AE$17</f>
        <v>0</v>
      </c>
      <c r="O200" s="62" t="n">
        <f aca="false">O19*Engagement_Register!$AE$17</f>
        <v>0</v>
      </c>
      <c r="P200" s="62" t="n">
        <f aca="false">P19*Engagement_Register!$AE$17</f>
        <v>0</v>
      </c>
      <c r="Q200" s="62" t="n">
        <f aca="false">Q19*Engagement_Register!$AE$17</f>
        <v>0</v>
      </c>
      <c r="R200" s="62" t="n">
        <f aca="false">R19*Engagement_Register!$AE$17</f>
        <v>0</v>
      </c>
      <c r="S200" s="62" t="n">
        <f aca="false">S19*Engagement_Register!$AE$17</f>
        <v>0</v>
      </c>
      <c r="T200" s="62" t="n">
        <f aca="false">T19*Engagement_Register!$AE$17</f>
        <v>0</v>
      </c>
      <c r="U200" s="62" t="n">
        <f aca="false">U19*Engagement_Register!$AE$17</f>
        <v>0</v>
      </c>
      <c r="V200" s="62" t="n">
        <f aca="false">V19*Engagement_Register!$AE$17</f>
        <v>0</v>
      </c>
      <c r="W200" s="62" t="n">
        <f aca="false">W19*Engagement_Register!$AE$17</f>
        <v>0</v>
      </c>
      <c r="X200" s="62" t="n">
        <f aca="false">X19*Engagement_Register!$AE$17</f>
        <v>0</v>
      </c>
      <c r="Y200" s="62" t="n">
        <f aca="false">Y19*Engagement_Register!$AE$17</f>
        <v>0</v>
      </c>
      <c r="Z200" s="62" t="n">
        <f aca="false">Z19*Engagement_Register!$AE$17</f>
        <v>0</v>
      </c>
      <c r="AA200" s="62" t="n">
        <f aca="false">AA19*Engagement_Register!$AE$17</f>
        <v>0</v>
      </c>
      <c r="AB200" s="62" t="n">
        <f aca="false">AB19*Engagement_Register!$AE$17</f>
        <v>0</v>
      </c>
    </row>
    <row r="201" customFormat="false" ht="15" hidden="false" customHeight="false" outlineLevel="0" collapsed="false">
      <c r="A201" s="29" t="s">
        <v>742</v>
      </c>
      <c r="B201" s="60" t="s">
        <v>866</v>
      </c>
      <c r="C201" s="61" t="n">
        <f aca="false">P201</f>
        <v>165000</v>
      </c>
      <c r="D201" s="61" t="n">
        <f aca="false">AB201</f>
        <v>165000</v>
      </c>
      <c r="E201" s="62" t="n">
        <f aca="false">IF(E$5="A",Engagement_Register!$U$17+Inputs_Actuals!E67,Engagement_Register!$AP$17*E198)</f>
        <v>0</v>
      </c>
      <c r="F201" s="62" t="n">
        <f aca="false">IF(F$5="A",E201+Inputs_Actuals!F67,Engagement_Register!$AP$17*F198)</f>
        <v>0</v>
      </c>
      <c r="G201" s="62" t="n">
        <f aca="false">IF(G$5="A",F201+Inputs_Actuals!G67,Engagement_Register!$AP$17*G198)</f>
        <v>0</v>
      </c>
      <c r="H201" s="62" t="n">
        <f aca="false">IF(H$5="A",G201+Inputs_Actuals!H67,Engagement_Register!$AP$17*H198)</f>
        <v>26262.5</v>
      </c>
      <c r="I201" s="62" t="n">
        <f aca="false">IF(I$5="A",H201+Inputs_Actuals!I67,Engagement_Register!$AP$17*I198)</f>
        <v>49225</v>
      </c>
      <c r="J201" s="62" t="n">
        <f aca="false">IF(J$5="A",I201+Inputs_Actuals!J67,Engagement_Register!$AP$17*J198)</f>
        <v>77766.07</v>
      </c>
      <c r="K201" s="62" t="n">
        <f aca="false">IF(K$5="A",J201+Inputs_Actuals!K67,Engagement_Register!$AP$17*K198)</f>
        <v>107756.25</v>
      </c>
      <c r="L201" s="62" t="n">
        <f aca="false">IF(L$5="A",K201+Inputs_Actuals!L67,Engagement_Register!$AP$17*L198)</f>
        <v>132168.75</v>
      </c>
      <c r="M201" s="62" t="n">
        <f aca="false">IF(M$5="A",L201+Inputs_Actuals!M67,Engagement_Register!$AP$17*M198)</f>
        <v>165000</v>
      </c>
      <c r="N201" s="62" t="n">
        <f aca="false">IF(N$5="A",M201+Inputs_Actuals!N67,Engagement_Register!$AP$17*N198)</f>
        <v>165000</v>
      </c>
      <c r="O201" s="62" t="n">
        <f aca="false">IF(O$5="A",N201+Inputs_Actuals!O67,Engagement_Register!$AP$17*O198)</f>
        <v>165000</v>
      </c>
      <c r="P201" s="62" t="n">
        <f aca="false">IF(P$5="A",O201+Inputs_Actuals!P67,Engagement_Register!$AP$17*P198)</f>
        <v>165000</v>
      </c>
      <c r="Q201" s="62" t="n">
        <f aca="false">IF(Q$5="A",P201+Inputs_Actuals!Q67,Engagement_Register!$AP$17*Q198)</f>
        <v>165000</v>
      </c>
      <c r="R201" s="62" t="n">
        <f aca="false">IF(R$5="A",Q201+Inputs_Actuals!R67,Engagement_Register!$AP$17*R198)</f>
        <v>165000</v>
      </c>
      <c r="S201" s="62" t="n">
        <f aca="false">IF(S$5="A",R201+Inputs_Actuals!S67,Engagement_Register!$AP$17*S198)</f>
        <v>165000</v>
      </c>
      <c r="T201" s="62" t="n">
        <f aca="false">IF(T$5="A",S201+Inputs_Actuals!T67,Engagement_Register!$AP$17*T198)</f>
        <v>165000</v>
      </c>
      <c r="U201" s="62" t="n">
        <f aca="false">IF(U$5="A",T201+Inputs_Actuals!U67,Engagement_Register!$AP$17*U198)</f>
        <v>165000</v>
      </c>
      <c r="V201" s="62" t="n">
        <f aca="false">IF(V$5="A",U201+Inputs_Actuals!V67,Engagement_Register!$AP$17*V198)</f>
        <v>165000</v>
      </c>
      <c r="W201" s="62" t="n">
        <f aca="false">IF(W$5="A",V201+Inputs_Actuals!W67,Engagement_Register!$AP$17*W198)</f>
        <v>165000</v>
      </c>
      <c r="X201" s="62" t="n">
        <f aca="false">IF(X$5="A",W201+Inputs_Actuals!X67,Engagement_Register!$AP$17*X198)</f>
        <v>165000</v>
      </c>
      <c r="Y201" s="62" t="n">
        <f aca="false">IF(Y$5="A",X201+Inputs_Actuals!Y67,Engagement_Register!$AP$17*Y198)</f>
        <v>165000</v>
      </c>
      <c r="Z201" s="62" t="n">
        <f aca="false">IF(Z$5="A",Y201+Inputs_Actuals!Z67,Engagement_Register!$AP$17*Z198)</f>
        <v>165000</v>
      </c>
      <c r="AA201" s="62" t="n">
        <f aca="false">IF(AA$5="A",Z201+Inputs_Actuals!AA67,Engagement_Register!$AP$17*AA198)</f>
        <v>165000</v>
      </c>
      <c r="AB201" s="62" t="n">
        <f aca="false">IF(AB$5="A",AA201+Inputs_Actuals!AB67,Engagement_Register!$AP$17*AB198)</f>
        <v>165000</v>
      </c>
    </row>
    <row r="202" customFormat="false" ht="15" hidden="false" customHeight="false" outlineLevel="0" collapsed="false">
      <c r="A202" s="68" t="s">
        <v>349</v>
      </c>
      <c r="B202" s="69" t="s">
        <v>859</v>
      </c>
      <c r="C202" s="70" t="n">
        <f aca="false">SUM(E202:P202)</f>
        <v>165000</v>
      </c>
      <c r="D202" s="70" t="n">
        <f aca="false">SUM(Q202:AB202)</f>
        <v>0</v>
      </c>
      <c r="E202" s="74" t="n">
        <f aca="false">E201-Engagement_Register!$U$17</f>
        <v>0</v>
      </c>
      <c r="F202" s="70" t="n">
        <f aca="false">F201-E201</f>
        <v>0</v>
      </c>
      <c r="G202" s="70" t="n">
        <f aca="false">G201-F201</f>
        <v>0</v>
      </c>
      <c r="H202" s="70" t="n">
        <f aca="false">H201-G201</f>
        <v>26262.5</v>
      </c>
      <c r="I202" s="70" t="n">
        <f aca="false">I201-H201</f>
        <v>22962.5</v>
      </c>
      <c r="J202" s="70" t="n">
        <f aca="false">J201-I201</f>
        <v>28541.07</v>
      </c>
      <c r="K202" s="70" t="n">
        <f aca="false">K201-J201</f>
        <v>29990.18</v>
      </c>
      <c r="L202" s="70" t="n">
        <f aca="false">L201-K201</f>
        <v>24412.5</v>
      </c>
      <c r="M202" s="70" t="n">
        <f aca="false">M201-L201</f>
        <v>32831.25</v>
      </c>
      <c r="N202" s="70" t="n">
        <f aca="false">N201-M201</f>
        <v>0</v>
      </c>
      <c r="O202" s="70" t="n">
        <f aca="false">O201-N201</f>
        <v>0</v>
      </c>
      <c r="P202" s="70" t="n">
        <f aca="false">P201-O201</f>
        <v>0</v>
      </c>
      <c r="Q202" s="70" t="n">
        <f aca="false">Q201-P201</f>
        <v>0</v>
      </c>
      <c r="R202" s="70" t="n">
        <f aca="false">R201-Q201</f>
        <v>0</v>
      </c>
      <c r="S202" s="70" t="n">
        <f aca="false">S201-R201</f>
        <v>0</v>
      </c>
      <c r="T202" s="70" t="n">
        <f aca="false">T201-S201</f>
        <v>0</v>
      </c>
      <c r="U202" s="70" t="n">
        <f aca="false">U201-T201</f>
        <v>0</v>
      </c>
      <c r="V202" s="70" t="n">
        <f aca="false">V201-U201</f>
        <v>0</v>
      </c>
      <c r="W202" s="70" t="n">
        <f aca="false">W201-V201</f>
        <v>0</v>
      </c>
      <c r="X202" s="70" t="n">
        <f aca="false">X201-W201</f>
        <v>0</v>
      </c>
      <c r="Y202" s="70" t="n">
        <f aca="false">Y201-X201</f>
        <v>0</v>
      </c>
      <c r="Z202" s="70" t="n">
        <f aca="false">Z201-Y201</f>
        <v>0</v>
      </c>
      <c r="AA202" s="70" t="n">
        <f aca="false">AA201-Z201</f>
        <v>0</v>
      </c>
      <c r="AB202" s="70" t="n">
        <f aca="false">AB201-AA201</f>
        <v>0</v>
      </c>
    </row>
    <row r="203" customFormat="false" ht="15" hidden="false" customHeight="false" outlineLevel="0" collapsed="false">
      <c r="A203" s="29" t="s">
        <v>867</v>
      </c>
      <c r="B203" s="60" t="s">
        <v>868</v>
      </c>
      <c r="C203" s="61" t="n">
        <f aca="false">P203</f>
        <v>165000</v>
      </c>
      <c r="D203" s="61" t="n">
        <f aca="false">AB203</f>
        <v>165000</v>
      </c>
      <c r="E203" s="62" t="n">
        <f aca="false">Engagement_Register!$AP$17*(Assumptions!$C$146*(Assumptions!E$187&gt;=Engagement_Register!$AG$17)+Assumptions!$C$147*(Assumptions!E$187&gt;=Engagement_Register!$AI$17)+Assumptions!$C$148*(Assumptions!E$187&gt;=Engagement_Register!$AH$17))</f>
        <v>0</v>
      </c>
      <c r="F203" s="62" t="n">
        <f aca="false">Engagement_Register!$AP$17*(Assumptions!$C$146*(Assumptions!F$187&gt;=Engagement_Register!$AG$17)+Assumptions!$C$147*(Assumptions!F$187&gt;=Engagement_Register!$AI$17)+Assumptions!$C$148*(Assumptions!F$187&gt;=Engagement_Register!$AH$17))</f>
        <v>0</v>
      </c>
      <c r="G203" s="62" t="n">
        <f aca="false">Engagement_Register!$AP$17*(Assumptions!$C$146*(Assumptions!G$187&gt;=Engagement_Register!$AG$17)+Assumptions!$C$147*(Assumptions!G$187&gt;=Engagement_Register!$AI$17)+Assumptions!$C$148*(Assumptions!G$187&gt;=Engagement_Register!$AH$17))</f>
        <v>0</v>
      </c>
      <c r="H203" s="62" t="n">
        <f aca="false">Engagement_Register!$AP$17*(Assumptions!$C$146*(Assumptions!H$187&gt;=Engagement_Register!$AG$17)+Assumptions!$C$147*(Assumptions!H$187&gt;=Engagement_Register!$AI$17)+Assumptions!$C$148*(Assumptions!H$187&gt;=Engagement_Register!$AH$17))</f>
        <v>49500</v>
      </c>
      <c r="I203" s="62" t="n">
        <f aca="false">Engagement_Register!$AP$17*(Assumptions!$C$146*(Assumptions!I$187&gt;=Engagement_Register!$AG$17)+Assumptions!$C$147*(Assumptions!I$187&gt;=Engagement_Register!$AI$17)+Assumptions!$C$148*(Assumptions!I$187&gt;=Engagement_Register!$AH$17))</f>
        <v>49500</v>
      </c>
      <c r="J203" s="62" t="n">
        <f aca="false">Engagement_Register!$AP$17*(Assumptions!$C$146*(Assumptions!J$187&gt;=Engagement_Register!$AG$17)+Assumptions!$C$147*(Assumptions!J$187&gt;=Engagement_Register!$AI$17)+Assumptions!$C$148*(Assumptions!J$187&gt;=Engagement_Register!$AH$17))</f>
        <v>49500</v>
      </c>
      <c r="K203" s="62" t="n">
        <f aca="false">Engagement_Register!$AP$17*(Assumptions!$C$146*(Assumptions!K$187&gt;=Engagement_Register!$AG$17)+Assumptions!$C$147*(Assumptions!K$187&gt;=Engagement_Register!$AI$17)+Assumptions!$C$148*(Assumptions!K$187&gt;=Engagement_Register!$AH$17))</f>
        <v>115500</v>
      </c>
      <c r="L203" s="62" t="n">
        <f aca="false">Engagement_Register!$AP$17*(Assumptions!$C$146*(Assumptions!L$187&gt;=Engagement_Register!$AG$17)+Assumptions!$C$147*(Assumptions!L$187&gt;=Engagement_Register!$AI$17)+Assumptions!$C$148*(Assumptions!L$187&gt;=Engagement_Register!$AH$17))</f>
        <v>115500</v>
      </c>
      <c r="M203" s="62" t="n">
        <f aca="false">Engagement_Register!$AP$17*(Assumptions!$C$146*(Assumptions!M$187&gt;=Engagement_Register!$AG$17)+Assumptions!$C$147*(Assumptions!M$187&gt;=Engagement_Register!$AI$17)+Assumptions!$C$148*(Assumptions!M$187&gt;=Engagement_Register!$AH$17))</f>
        <v>165000</v>
      </c>
      <c r="N203" s="62" t="n">
        <f aca="false">Engagement_Register!$AP$17*(Assumptions!$C$146*(Assumptions!N$187&gt;=Engagement_Register!$AG$17)+Assumptions!$C$147*(Assumptions!N$187&gt;=Engagement_Register!$AI$17)+Assumptions!$C$148*(Assumptions!N$187&gt;=Engagement_Register!$AH$17))</f>
        <v>165000</v>
      </c>
      <c r="O203" s="62" t="n">
        <f aca="false">Engagement_Register!$AP$17*(Assumptions!$C$146*(Assumptions!O$187&gt;=Engagement_Register!$AG$17)+Assumptions!$C$147*(Assumptions!O$187&gt;=Engagement_Register!$AI$17)+Assumptions!$C$148*(Assumptions!O$187&gt;=Engagement_Register!$AH$17))</f>
        <v>165000</v>
      </c>
      <c r="P203" s="62" t="n">
        <f aca="false">Engagement_Register!$AP$17*(Assumptions!$C$146*(Assumptions!P$187&gt;=Engagement_Register!$AG$17)+Assumptions!$C$147*(Assumptions!P$187&gt;=Engagement_Register!$AI$17)+Assumptions!$C$148*(Assumptions!P$187&gt;=Engagement_Register!$AH$17))</f>
        <v>165000</v>
      </c>
      <c r="Q203" s="62" t="n">
        <f aca="false">Engagement_Register!$AP$17*(Assumptions!$C$146*(Assumptions!Q$187&gt;=Engagement_Register!$AG$17)+Assumptions!$C$147*(Assumptions!Q$187&gt;=Engagement_Register!$AI$17)+Assumptions!$C$148*(Assumptions!Q$187&gt;=Engagement_Register!$AH$17))</f>
        <v>165000</v>
      </c>
      <c r="R203" s="62" t="n">
        <f aca="false">Engagement_Register!$AP$17*(Assumptions!$C$146*(Assumptions!R$187&gt;=Engagement_Register!$AG$17)+Assumptions!$C$147*(Assumptions!R$187&gt;=Engagement_Register!$AI$17)+Assumptions!$C$148*(Assumptions!R$187&gt;=Engagement_Register!$AH$17))</f>
        <v>165000</v>
      </c>
      <c r="S203" s="62" t="n">
        <f aca="false">Engagement_Register!$AP$17*(Assumptions!$C$146*(Assumptions!S$187&gt;=Engagement_Register!$AG$17)+Assumptions!$C$147*(Assumptions!S$187&gt;=Engagement_Register!$AI$17)+Assumptions!$C$148*(Assumptions!S$187&gt;=Engagement_Register!$AH$17))</f>
        <v>165000</v>
      </c>
      <c r="T203" s="62" t="n">
        <f aca="false">Engagement_Register!$AP$17*(Assumptions!$C$146*(Assumptions!T$187&gt;=Engagement_Register!$AG$17)+Assumptions!$C$147*(Assumptions!T$187&gt;=Engagement_Register!$AI$17)+Assumptions!$C$148*(Assumptions!T$187&gt;=Engagement_Register!$AH$17))</f>
        <v>165000</v>
      </c>
      <c r="U203" s="62" t="n">
        <f aca="false">Engagement_Register!$AP$17*(Assumptions!$C$146*(Assumptions!U$187&gt;=Engagement_Register!$AG$17)+Assumptions!$C$147*(Assumptions!U$187&gt;=Engagement_Register!$AI$17)+Assumptions!$C$148*(Assumptions!U$187&gt;=Engagement_Register!$AH$17))</f>
        <v>165000</v>
      </c>
      <c r="V203" s="62" t="n">
        <f aca="false">Engagement_Register!$AP$17*(Assumptions!$C$146*(Assumptions!V$187&gt;=Engagement_Register!$AG$17)+Assumptions!$C$147*(Assumptions!V$187&gt;=Engagement_Register!$AI$17)+Assumptions!$C$148*(Assumptions!V$187&gt;=Engagement_Register!$AH$17))</f>
        <v>165000</v>
      </c>
      <c r="W203" s="62" t="n">
        <f aca="false">Engagement_Register!$AP$17*(Assumptions!$C$146*(Assumptions!W$187&gt;=Engagement_Register!$AG$17)+Assumptions!$C$147*(Assumptions!W$187&gt;=Engagement_Register!$AI$17)+Assumptions!$C$148*(Assumptions!W$187&gt;=Engagement_Register!$AH$17))</f>
        <v>165000</v>
      </c>
      <c r="X203" s="62" t="n">
        <f aca="false">Engagement_Register!$AP$17*(Assumptions!$C$146*(Assumptions!X$187&gt;=Engagement_Register!$AG$17)+Assumptions!$C$147*(Assumptions!X$187&gt;=Engagement_Register!$AI$17)+Assumptions!$C$148*(Assumptions!X$187&gt;=Engagement_Register!$AH$17))</f>
        <v>165000</v>
      </c>
      <c r="Y203" s="62" t="n">
        <f aca="false">Engagement_Register!$AP$17*(Assumptions!$C$146*(Assumptions!Y$187&gt;=Engagement_Register!$AG$17)+Assumptions!$C$147*(Assumptions!Y$187&gt;=Engagement_Register!$AI$17)+Assumptions!$C$148*(Assumptions!Y$187&gt;=Engagement_Register!$AH$17))</f>
        <v>165000</v>
      </c>
      <c r="Z203" s="62" t="n">
        <f aca="false">Engagement_Register!$AP$17*(Assumptions!$C$146*(Assumptions!Z$187&gt;=Engagement_Register!$AG$17)+Assumptions!$C$147*(Assumptions!Z$187&gt;=Engagement_Register!$AI$17)+Assumptions!$C$148*(Assumptions!Z$187&gt;=Engagement_Register!$AH$17))</f>
        <v>165000</v>
      </c>
      <c r="AA203" s="62" t="n">
        <f aca="false">Engagement_Register!$AP$17*(Assumptions!$C$146*(Assumptions!AA$187&gt;=Engagement_Register!$AG$17)+Assumptions!$C$147*(Assumptions!AA$187&gt;=Engagement_Register!$AI$17)+Assumptions!$C$148*(Assumptions!AA$187&gt;=Engagement_Register!$AH$17))</f>
        <v>165000</v>
      </c>
      <c r="AB203" s="62" t="n">
        <f aca="false">Engagement_Register!$AP$17*(Assumptions!$C$146*(Assumptions!AB$187&gt;=Engagement_Register!$AG$17)+Assumptions!$C$147*(Assumptions!AB$187&gt;=Engagement_Register!$AI$17)+Assumptions!$C$148*(Assumptions!AB$187&gt;=Engagement_Register!$AH$17))</f>
        <v>165000</v>
      </c>
    </row>
    <row r="204" customFormat="false" ht="15" hidden="false" customHeight="false" outlineLevel="0" collapsed="false">
      <c r="A204" s="29" t="s">
        <v>838</v>
      </c>
      <c r="B204" s="60" t="s">
        <v>869</v>
      </c>
      <c r="C204" s="61" t="n">
        <f aca="false">SUM(E204:P204)</f>
        <v>165000</v>
      </c>
      <c r="D204" s="61" t="n">
        <f aca="false">SUM(Q204:AB204)</f>
        <v>0</v>
      </c>
      <c r="E204" s="62" t="n">
        <f aca="false">IF(E$5="A",Inputs_Actuals!E68,MAX(0,E203-Engagement_Register!$V$17))</f>
        <v>0</v>
      </c>
      <c r="F204" s="62" t="n">
        <f aca="false">IF(F$5="A",Inputs_Actuals!F68,MAX(0,F203-E205))</f>
        <v>0</v>
      </c>
      <c r="G204" s="62" t="n">
        <f aca="false">IF(G$5="A",Inputs_Actuals!G68,MAX(0,G203-F205))</f>
        <v>0</v>
      </c>
      <c r="H204" s="62" t="n">
        <f aca="false">IF(H$5="A",Inputs_Actuals!H68,MAX(0,H203-G205))</f>
        <v>49500</v>
      </c>
      <c r="I204" s="62" t="n">
        <f aca="false">IF(I$5="A",Inputs_Actuals!I68,MAX(0,I203-H205))</f>
        <v>0</v>
      </c>
      <c r="J204" s="62" t="n">
        <f aca="false">IF(J$5="A",Inputs_Actuals!J68,MAX(0,J203-I205))</f>
        <v>0</v>
      </c>
      <c r="K204" s="62" t="n">
        <f aca="false">IF(K$5="A",Inputs_Actuals!K68,MAX(0,K203-J205))</f>
        <v>66000</v>
      </c>
      <c r="L204" s="62" t="n">
        <f aca="false">IF(L$5="A",Inputs_Actuals!L68,MAX(0,L203-K205))</f>
        <v>0</v>
      </c>
      <c r="M204" s="62" t="n">
        <f aca="false">IF(M$5="A",Inputs_Actuals!M68,MAX(0,M203-L205))</f>
        <v>49500</v>
      </c>
      <c r="N204" s="62" t="n">
        <f aca="false">IF(N$5="A",Inputs_Actuals!N68,MAX(0,N203-M205))</f>
        <v>0</v>
      </c>
      <c r="O204" s="62" t="n">
        <f aca="false">IF(O$5="A",Inputs_Actuals!O68,MAX(0,O203-N205))</f>
        <v>0</v>
      </c>
      <c r="P204" s="62" t="n">
        <f aca="false">IF(P$5="A",Inputs_Actuals!P68,MAX(0,P203-O205))</f>
        <v>0</v>
      </c>
      <c r="Q204" s="62" t="n">
        <f aca="false">IF(Q$5="A",Inputs_Actuals!Q68,MAX(0,Q203-P205))</f>
        <v>0</v>
      </c>
      <c r="R204" s="62" t="n">
        <f aca="false">IF(R$5="A",Inputs_Actuals!R68,MAX(0,R203-Q205))</f>
        <v>0</v>
      </c>
      <c r="S204" s="62" t="n">
        <f aca="false">IF(S$5="A",Inputs_Actuals!S68,MAX(0,S203-R205))</f>
        <v>0</v>
      </c>
      <c r="T204" s="62" t="n">
        <f aca="false">IF(T$5="A",Inputs_Actuals!T68,MAX(0,T203-S205))</f>
        <v>0</v>
      </c>
      <c r="U204" s="62" t="n">
        <f aca="false">IF(U$5="A",Inputs_Actuals!U68,MAX(0,U203-T205))</f>
        <v>0</v>
      </c>
      <c r="V204" s="62" t="n">
        <f aca="false">IF(V$5="A",Inputs_Actuals!V68,MAX(0,V203-U205))</f>
        <v>0</v>
      </c>
      <c r="W204" s="62" t="n">
        <f aca="false">IF(W$5="A",Inputs_Actuals!W68,MAX(0,W203-V205))</f>
        <v>0</v>
      </c>
      <c r="X204" s="62" t="n">
        <f aca="false">IF(X$5="A",Inputs_Actuals!X68,MAX(0,X203-W205))</f>
        <v>0</v>
      </c>
      <c r="Y204" s="62" t="n">
        <f aca="false">IF(Y$5="A",Inputs_Actuals!Y68,MAX(0,Y203-X205))</f>
        <v>0</v>
      </c>
      <c r="Z204" s="62" t="n">
        <f aca="false">IF(Z$5="A",Inputs_Actuals!Z68,MAX(0,Z203-Y205))</f>
        <v>0</v>
      </c>
      <c r="AA204" s="62" t="n">
        <f aca="false">IF(AA$5="A",Inputs_Actuals!AA68,MAX(0,AA203-Z205))</f>
        <v>0</v>
      </c>
      <c r="AB204" s="62" t="n">
        <f aca="false">IF(AB$5="A",Inputs_Actuals!AB68,MAX(0,AB203-AA205))</f>
        <v>0</v>
      </c>
    </row>
    <row r="205" customFormat="false" ht="15" hidden="false" customHeight="false" outlineLevel="0" collapsed="false">
      <c r="A205" s="29" t="s">
        <v>840</v>
      </c>
      <c r="B205" s="60"/>
      <c r="C205" s="61" t="n">
        <f aca="false">P205</f>
        <v>165000</v>
      </c>
      <c r="D205" s="61" t="n">
        <f aca="false">AB205</f>
        <v>165000</v>
      </c>
      <c r="E205" s="62" t="n">
        <f aca="false">Engagement_Register!$V$17+E204</f>
        <v>0</v>
      </c>
      <c r="F205" s="71" t="n">
        <f aca="false">E205+F204</f>
        <v>0</v>
      </c>
      <c r="G205" s="71" t="n">
        <f aca="false">F205+G204</f>
        <v>0</v>
      </c>
      <c r="H205" s="71" t="n">
        <f aca="false">G205+H204</f>
        <v>49500</v>
      </c>
      <c r="I205" s="71" t="n">
        <f aca="false">H205+I204</f>
        <v>49500</v>
      </c>
      <c r="J205" s="71" t="n">
        <f aca="false">I205+J204</f>
        <v>49500</v>
      </c>
      <c r="K205" s="71" t="n">
        <f aca="false">J205+K204</f>
        <v>115500</v>
      </c>
      <c r="L205" s="71" t="n">
        <f aca="false">K205+L204</f>
        <v>115500</v>
      </c>
      <c r="M205" s="71" t="n">
        <f aca="false">L205+M204</f>
        <v>165000</v>
      </c>
      <c r="N205" s="71" t="n">
        <f aca="false">M205+N204</f>
        <v>165000</v>
      </c>
      <c r="O205" s="71" t="n">
        <f aca="false">N205+O204</f>
        <v>165000</v>
      </c>
      <c r="P205" s="71" t="n">
        <f aca="false">O205+P204</f>
        <v>165000</v>
      </c>
      <c r="Q205" s="71" t="n">
        <f aca="false">P205+Q204</f>
        <v>165000</v>
      </c>
      <c r="R205" s="71" t="n">
        <f aca="false">Q205+R204</f>
        <v>165000</v>
      </c>
      <c r="S205" s="71" t="n">
        <f aca="false">R205+S204</f>
        <v>165000</v>
      </c>
      <c r="T205" s="71" t="n">
        <f aca="false">S205+T204</f>
        <v>165000</v>
      </c>
      <c r="U205" s="71" t="n">
        <f aca="false">T205+U204</f>
        <v>165000</v>
      </c>
      <c r="V205" s="71" t="n">
        <f aca="false">U205+V204</f>
        <v>165000</v>
      </c>
      <c r="W205" s="71" t="n">
        <f aca="false">V205+W204</f>
        <v>165000</v>
      </c>
      <c r="X205" s="71" t="n">
        <f aca="false">W205+X204</f>
        <v>165000</v>
      </c>
      <c r="Y205" s="71" t="n">
        <f aca="false">X205+Y204</f>
        <v>165000</v>
      </c>
      <c r="Z205" s="71" t="n">
        <f aca="false">Y205+Z204</f>
        <v>165000</v>
      </c>
      <c r="AA205" s="71" t="n">
        <f aca="false">Z205+AA204</f>
        <v>165000</v>
      </c>
      <c r="AB205" s="71" t="n">
        <f aca="false">AA205+AB204</f>
        <v>165000</v>
      </c>
    </row>
    <row r="206" customFormat="false" ht="15" hidden="false" customHeight="false" outlineLevel="0" collapsed="false">
      <c r="A206" s="29" t="s">
        <v>841</v>
      </c>
      <c r="B206" s="60" t="s">
        <v>842</v>
      </c>
      <c r="C206" s="61" t="n">
        <f aca="false">SUM(E206:P206)</f>
        <v>8956.57</v>
      </c>
      <c r="D206" s="61" t="n">
        <f aca="false">SUM(Q206:AB206)</f>
        <v>0</v>
      </c>
      <c r="E206" s="62" t="n">
        <f aca="false">IF(E$5="A",Inputs_Actuals!E69,E19*Engagement_Register!$N$17*Assumptions!E$195)</f>
        <v>0</v>
      </c>
      <c r="F206" s="62" t="n">
        <f aca="false">IF(F$5="A",Inputs_Actuals!F69,F19*Engagement_Register!$N$17*Assumptions!F$195)</f>
        <v>0</v>
      </c>
      <c r="G206" s="62" t="n">
        <f aca="false">IF(G$5="A",Inputs_Actuals!G69,G19*Engagement_Register!$N$17*Assumptions!G$195)</f>
        <v>0</v>
      </c>
      <c r="H206" s="62" t="n">
        <f aca="false">IF(H$5="A",Inputs_Actuals!H69,H19*Engagement_Register!$N$17*Assumptions!H$195)</f>
        <v>1240.25</v>
      </c>
      <c r="I206" s="62" t="n">
        <f aca="false">IF(I$5="A",Inputs_Actuals!I69,I19*Engagement_Register!$N$17*Assumptions!I$195)</f>
        <v>1114.46</v>
      </c>
      <c r="J206" s="62" t="n">
        <f aca="false">IF(J$5="A",Inputs_Actuals!J69,J19*Engagement_Register!$N$17*Assumptions!J$195)</f>
        <v>1624.64</v>
      </c>
      <c r="K206" s="62" t="n">
        <f aca="false">IF(K$5="A",Inputs_Actuals!K69,K19*Engagement_Register!$N$17*Assumptions!K$195)</f>
        <v>1869.18</v>
      </c>
      <c r="L206" s="62" t="n">
        <f aca="false">IF(L$5="A",Inputs_Actuals!L69,L19*Engagement_Register!$N$17*Assumptions!L$195)</f>
        <v>1269.49</v>
      </c>
      <c r="M206" s="62" t="n">
        <f aca="false">IF(M$5="A",Inputs_Actuals!M69,M19*Engagement_Register!$N$17*Assumptions!M$195)</f>
        <v>1838.55</v>
      </c>
      <c r="N206" s="62" t="n">
        <f aca="false">IF(N$5="A",Inputs_Actuals!N69,N19*Engagement_Register!$N$17*Assumptions!N$195)</f>
        <v>0</v>
      </c>
      <c r="O206" s="62" t="n">
        <f aca="false">IF(O$5="A",Inputs_Actuals!O69,O19*Engagement_Register!$N$17*Assumptions!O$195)</f>
        <v>0</v>
      </c>
      <c r="P206" s="62" t="n">
        <f aca="false">IF(P$5="A",Inputs_Actuals!P69,P19*Engagement_Register!$N$17*Assumptions!P$195)</f>
        <v>0</v>
      </c>
      <c r="Q206" s="62" t="n">
        <f aca="false">IF(Q$5="A",Inputs_Actuals!Q69,Q19*Engagement_Register!$N$17*Assumptions!Q$195)</f>
        <v>0</v>
      </c>
      <c r="R206" s="62" t="n">
        <f aca="false">IF(R$5="A",Inputs_Actuals!R69,R19*Engagement_Register!$N$17*Assumptions!R$195)</f>
        <v>0</v>
      </c>
      <c r="S206" s="62" t="n">
        <f aca="false">IF(S$5="A",Inputs_Actuals!S69,S19*Engagement_Register!$N$17*Assumptions!S$195)</f>
        <v>0</v>
      </c>
      <c r="T206" s="62" t="n">
        <f aca="false">IF(T$5="A",Inputs_Actuals!T69,T19*Engagement_Register!$N$17*Assumptions!T$195)</f>
        <v>0</v>
      </c>
      <c r="U206" s="62" t="n">
        <f aca="false">IF(U$5="A",Inputs_Actuals!U69,U19*Engagement_Register!$N$17*Assumptions!U$195)</f>
        <v>0</v>
      </c>
      <c r="V206" s="62" t="n">
        <f aca="false">IF(V$5="A",Inputs_Actuals!V69,V19*Engagement_Register!$N$17*Assumptions!V$195)</f>
        <v>0</v>
      </c>
      <c r="W206" s="62" t="n">
        <f aca="false">IF(W$5="A",Inputs_Actuals!W69,W19*Engagement_Register!$N$17*Assumptions!W$195)</f>
        <v>0</v>
      </c>
      <c r="X206" s="62" t="n">
        <f aca="false">IF(X$5="A",Inputs_Actuals!X69,X19*Engagement_Register!$N$17*Assumptions!X$195)</f>
        <v>0</v>
      </c>
      <c r="Y206" s="62" t="n">
        <f aca="false">IF(Y$5="A",Inputs_Actuals!Y69,Y19*Engagement_Register!$N$17*Assumptions!Y$195)</f>
        <v>0</v>
      </c>
      <c r="Z206" s="62" t="n">
        <f aca="false">IF(Z$5="A",Inputs_Actuals!Z69,Z19*Engagement_Register!$N$17*Assumptions!Z$195)</f>
        <v>0</v>
      </c>
      <c r="AA206" s="62" t="n">
        <f aca="false">IF(AA$5="A",Inputs_Actuals!AA69,AA19*Engagement_Register!$N$17*Assumptions!AA$195)</f>
        <v>0</v>
      </c>
      <c r="AB206" s="62" t="n">
        <f aca="false">IF(AB$5="A",Inputs_Actuals!AB69,AB19*Engagement_Register!$N$17*Assumptions!AB$195)</f>
        <v>0</v>
      </c>
    </row>
    <row r="207" customFormat="false" ht="15" hidden="false" customHeight="false" outlineLevel="0" collapsed="false">
      <c r="A207" s="29" t="s">
        <v>847</v>
      </c>
      <c r="B207" s="60" t="s">
        <v>848</v>
      </c>
      <c r="C207" s="61" t="n">
        <f aca="false">P207</f>
        <v>0</v>
      </c>
      <c r="D207" s="61" t="n">
        <f aca="false">AB207</f>
        <v>0</v>
      </c>
      <c r="E207" s="62" t="n">
        <f aca="false">Engagement_Register!$X$17+E202-E204</f>
        <v>0</v>
      </c>
      <c r="F207" s="71" t="n">
        <f aca="false">E207+F202-F204</f>
        <v>0</v>
      </c>
      <c r="G207" s="71" t="n">
        <f aca="false">F207+G202-G204</f>
        <v>0</v>
      </c>
      <c r="H207" s="71" t="n">
        <f aca="false">G207+H202-H204</f>
        <v>-23237.5</v>
      </c>
      <c r="I207" s="71" t="n">
        <f aca="false">H207+I202-I204</f>
        <v>-275</v>
      </c>
      <c r="J207" s="71" t="n">
        <f aca="false">I207+J202-J204</f>
        <v>28266.07</v>
      </c>
      <c r="K207" s="71" t="n">
        <f aca="false">J207+K202-K204</f>
        <v>-7743.75</v>
      </c>
      <c r="L207" s="71" t="n">
        <f aca="false">K207+L202-L204</f>
        <v>16668.75</v>
      </c>
      <c r="M207" s="71" t="n">
        <f aca="false">L207+M202-M204</f>
        <v>0</v>
      </c>
      <c r="N207" s="71" t="n">
        <f aca="false">M207+N202-N204</f>
        <v>0</v>
      </c>
      <c r="O207" s="71" t="n">
        <f aca="false">N207+O202-O204</f>
        <v>0</v>
      </c>
      <c r="P207" s="71" t="n">
        <f aca="false">O207+P202-P204</f>
        <v>0</v>
      </c>
      <c r="Q207" s="71" t="n">
        <f aca="false">P207+Q202-Q204</f>
        <v>0</v>
      </c>
      <c r="R207" s="71" t="n">
        <f aca="false">Q207+R202-R204</f>
        <v>0</v>
      </c>
      <c r="S207" s="71" t="n">
        <f aca="false">R207+S202-S204</f>
        <v>0</v>
      </c>
      <c r="T207" s="71" t="n">
        <f aca="false">S207+T202-T204</f>
        <v>0</v>
      </c>
      <c r="U207" s="71" t="n">
        <f aca="false">T207+U202-U204</f>
        <v>0</v>
      </c>
      <c r="V207" s="71" t="n">
        <f aca="false">U207+V202-V204</f>
        <v>0</v>
      </c>
      <c r="W207" s="71" t="n">
        <f aca="false">V207+W202-W204</f>
        <v>0</v>
      </c>
      <c r="X207" s="71" t="n">
        <f aca="false">W207+X202-X204</f>
        <v>0</v>
      </c>
      <c r="Y207" s="71" t="n">
        <f aca="false">X207+Y202-Y204</f>
        <v>0</v>
      </c>
      <c r="Z207" s="71" t="n">
        <f aca="false">Y207+Z202-Z204</f>
        <v>0</v>
      </c>
      <c r="AA207" s="71" t="n">
        <f aca="false">Z207+AA202-AA204</f>
        <v>0</v>
      </c>
      <c r="AB207" s="71" t="n">
        <f aca="false">AA207+AB202-AB204</f>
        <v>0</v>
      </c>
    </row>
    <row r="208" customFormat="false" ht="15" hidden="false" customHeight="false" outlineLevel="0" collapsed="false">
      <c r="A208" s="29" t="s">
        <v>849</v>
      </c>
      <c r="B208" s="60" t="s">
        <v>850</v>
      </c>
      <c r="C208" s="61" t="n">
        <f aca="false">P208</f>
        <v>0</v>
      </c>
      <c r="D208" s="61" t="n">
        <f aca="false">AB208</f>
        <v>0</v>
      </c>
      <c r="E208" s="62" t="n">
        <f aca="false">MAX(0,Engagement_Register!$AP$17-E201)</f>
        <v>165000</v>
      </c>
      <c r="F208" s="62" t="n">
        <f aca="false">MAX(0,Engagement_Register!$AP$17-F201)</f>
        <v>165000</v>
      </c>
      <c r="G208" s="62" t="n">
        <f aca="false">MAX(0,Engagement_Register!$AP$17-G201)</f>
        <v>165000</v>
      </c>
      <c r="H208" s="62" t="n">
        <f aca="false">MAX(0,Engagement_Register!$AP$17-H201)</f>
        <v>138737.5</v>
      </c>
      <c r="I208" s="62" t="n">
        <f aca="false">MAX(0,Engagement_Register!$AP$17-I201)</f>
        <v>115775</v>
      </c>
      <c r="J208" s="62" t="n">
        <f aca="false">MAX(0,Engagement_Register!$AP$17-J201)</f>
        <v>87233.93</v>
      </c>
      <c r="K208" s="62" t="n">
        <f aca="false">MAX(0,Engagement_Register!$AP$17-K201)</f>
        <v>57243.75</v>
      </c>
      <c r="L208" s="62" t="n">
        <f aca="false">MAX(0,Engagement_Register!$AP$17-L201)</f>
        <v>32831.25</v>
      </c>
      <c r="M208" s="62" t="n">
        <f aca="false">MAX(0,Engagement_Register!$AP$17-M201)</f>
        <v>0</v>
      </c>
      <c r="N208" s="62" t="n">
        <f aca="false">MAX(0,Engagement_Register!$AP$17-N201)</f>
        <v>0</v>
      </c>
      <c r="O208" s="62" t="n">
        <f aca="false">MAX(0,Engagement_Register!$AP$17-O201)</f>
        <v>0</v>
      </c>
      <c r="P208" s="62" t="n">
        <f aca="false">MAX(0,Engagement_Register!$AP$17-P201)</f>
        <v>0</v>
      </c>
      <c r="Q208" s="62" t="n">
        <f aca="false">MAX(0,Engagement_Register!$AP$17-Q201)</f>
        <v>0</v>
      </c>
      <c r="R208" s="62" t="n">
        <f aca="false">MAX(0,Engagement_Register!$AP$17-R201)</f>
        <v>0</v>
      </c>
      <c r="S208" s="62" t="n">
        <f aca="false">MAX(0,Engagement_Register!$AP$17-S201)</f>
        <v>0</v>
      </c>
      <c r="T208" s="62" t="n">
        <f aca="false">MAX(0,Engagement_Register!$AP$17-T201)</f>
        <v>0</v>
      </c>
      <c r="U208" s="62" t="n">
        <f aca="false">MAX(0,Engagement_Register!$AP$17-U201)</f>
        <v>0</v>
      </c>
      <c r="V208" s="62" t="n">
        <f aca="false">MAX(0,Engagement_Register!$AP$17-V201)</f>
        <v>0</v>
      </c>
      <c r="W208" s="62" t="n">
        <f aca="false">MAX(0,Engagement_Register!$AP$17-W201)</f>
        <v>0</v>
      </c>
      <c r="X208" s="62" t="n">
        <f aca="false">MAX(0,Engagement_Register!$AP$17-X201)</f>
        <v>0</v>
      </c>
      <c r="Y208" s="62" t="n">
        <f aca="false">MAX(0,Engagement_Register!$AP$17-Y201)</f>
        <v>0</v>
      </c>
      <c r="Z208" s="62" t="n">
        <f aca="false">MAX(0,Engagement_Register!$AP$17-Z201)</f>
        <v>0</v>
      </c>
      <c r="AA208" s="62" t="n">
        <f aca="false">MAX(0,Engagement_Register!$AP$17-AA201)</f>
        <v>0</v>
      </c>
      <c r="AB208" s="62" t="n">
        <f aca="false">MAX(0,Engagement_Register!$AP$17-AB201)</f>
        <v>0</v>
      </c>
    </row>
    <row r="209" customFormat="false" ht="15" hidden="false" customHeight="false" outlineLevel="0" collapsed="false">
      <c r="A209" s="29" t="s">
        <v>861</v>
      </c>
      <c r="B209" s="60" t="s">
        <v>862</v>
      </c>
      <c r="E209" s="62" t="n">
        <f aca="false">IF(E$5="A",ROUND(E201-E198*Engagement_Register!$AP$17,0),0)</f>
        <v>0</v>
      </c>
      <c r="F209" s="62" t="n">
        <f aca="false">IF(F$5="A",ROUND(F201-F198*Engagement_Register!$AP$17,0),0)</f>
        <v>0</v>
      </c>
      <c r="G209" s="62" t="n">
        <f aca="false">IF(G$5="A",ROUND(G201-G198*Engagement_Register!$AP$17,0),0)</f>
        <v>0</v>
      </c>
      <c r="H209" s="62" t="n">
        <f aca="false">IF(H$5="A",ROUND(H201-H198*Engagement_Register!$AP$17,0),0)</f>
        <v>0</v>
      </c>
      <c r="I209" s="62" t="n">
        <f aca="false">IF(I$5="A",ROUND(I201-I198*Engagement_Register!$AP$17,0),0)</f>
        <v>0</v>
      </c>
      <c r="J209" s="62" t="n">
        <f aca="false">IF(J$5="A",ROUND(J201-J198*Engagement_Register!$AP$17,0),0)</f>
        <v>-0</v>
      </c>
      <c r="K209" s="62" t="n">
        <f aca="false">IF(K$5="A",ROUND(K201-K198*Engagement_Register!$AP$17,0),0)</f>
        <v>0</v>
      </c>
      <c r="L209" s="62" t="n">
        <f aca="false">IF(L$5="A",ROUND(L201-L198*Engagement_Register!$AP$17,0),0)</f>
        <v>0</v>
      </c>
      <c r="M209" s="62" t="n">
        <f aca="false">IF(M$5="A",ROUND(M201-M198*Engagement_Register!$AP$17,0),0)</f>
        <v>0</v>
      </c>
      <c r="N209" s="62" t="n">
        <f aca="false">IF(N$5="A",ROUND(N201-N198*Engagement_Register!$AP$17,0),0)</f>
        <v>0</v>
      </c>
      <c r="O209" s="62" t="n">
        <f aca="false">IF(O$5="A",ROUND(O201-O198*Engagement_Register!$AP$17,0),0)</f>
        <v>0</v>
      </c>
      <c r="P209" s="62" t="n">
        <f aca="false">IF(P$5="A",ROUND(P201-P198*Engagement_Register!$AP$17,0),0)</f>
        <v>0</v>
      </c>
      <c r="Q209" s="62" t="n">
        <f aca="false">IF(Q$5="A",ROUND(Q201-Q198*Engagement_Register!$AP$17,0),0)</f>
        <v>0</v>
      </c>
      <c r="R209" s="62" t="n">
        <f aca="false">IF(R$5="A",ROUND(R201-R198*Engagement_Register!$AP$17,0),0)</f>
        <v>0</v>
      </c>
      <c r="S209" s="62" t="n">
        <f aca="false">IF(S$5="A",ROUND(S201-S198*Engagement_Register!$AP$17,0),0)</f>
        <v>0</v>
      </c>
      <c r="T209" s="62" t="n">
        <f aca="false">IF(T$5="A",ROUND(T201-T198*Engagement_Register!$AP$17,0),0)</f>
        <v>0</v>
      </c>
      <c r="U209" s="62" t="n">
        <f aca="false">IF(U$5="A",ROUND(U201-U198*Engagement_Register!$AP$17,0),0)</f>
        <v>0</v>
      </c>
      <c r="V209" s="62" t="n">
        <f aca="false">IF(V$5="A",ROUND(V201-V198*Engagement_Register!$AP$17,0),0)</f>
        <v>0</v>
      </c>
      <c r="W209" s="62" t="n">
        <f aca="false">IF(W$5="A",ROUND(W201-W198*Engagement_Register!$AP$17,0),0)</f>
        <v>0</v>
      </c>
      <c r="X209" s="62" t="n">
        <f aca="false">IF(X$5="A",ROUND(X201-X198*Engagement_Register!$AP$17,0),0)</f>
        <v>0</v>
      </c>
      <c r="Y209" s="62" t="n">
        <f aca="false">IF(Y$5="A",ROUND(Y201-Y198*Engagement_Register!$AP$17,0),0)</f>
        <v>0</v>
      </c>
      <c r="Z209" s="62" t="n">
        <f aca="false">IF(Z$5="A",ROUND(Z201-Z198*Engagement_Register!$AP$17,0),0)</f>
        <v>0</v>
      </c>
      <c r="AA209" s="62" t="n">
        <f aca="false">IF(AA$5="A",ROUND(AA201-AA198*Engagement_Register!$AP$17,0),0)</f>
        <v>0</v>
      </c>
      <c r="AB209" s="62" t="n">
        <f aca="false">IF(AB$5="A",ROUND(AB201-AB198*Engagement_Register!$AP$17,0),0)</f>
        <v>0</v>
      </c>
    </row>
    <row r="211" customFormat="false" ht="15" hidden="false" customHeight="false" outlineLevel="0" collapsed="false">
      <c r="A211" s="23" t="s">
        <v>877</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row>
    <row r="212" customFormat="false" ht="15" hidden="false" customHeight="false" outlineLevel="0" collapsed="false">
      <c r="A212" s="29" t="s">
        <v>736</v>
      </c>
      <c r="B212" s="60" t="s">
        <v>832</v>
      </c>
      <c r="C212" s="66" t="n">
        <f aca="false">P212</f>
        <v>3664.9</v>
      </c>
      <c r="D212" s="66" t="n">
        <f aca="false">AB212</f>
        <v>3664.9</v>
      </c>
      <c r="E212" s="67" t="n">
        <f aca="false">Engagement_Register!$T$18+E20</f>
        <v>0</v>
      </c>
      <c r="F212" s="72" t="n">
        <f aca="false">E212+F20</f>
        <v>0</v>
      </c>
      <c r="G212" s="72" t="n">
        <f aca="false">F212+G20</f>
        <v>0</v>
      </c>
      <c r="H212" s="72" t="n">
        <f aca="false">G212+H20</f>
        <v>0</v>
      </c>
      <c r="I212" s="72" t="n">
        <f aca="false">H212+I20</f>
        <v>350.1</v>
      </c>
      <c r="J212" s="72" t="n">
        <f aca="false">I212+J20</f>
        <v>812.4</v>
      </c>
      <c r="K212" s="72" t="n">
        <f aca="false">J212+K20</f>
        <v>1290.9</v>
      </c>
      <c r="L212" s="72" t="n">
        <f aca="false">K212+L20</f>
        <v>1709.2</v>
      </c>
      <c r="M212" s="72" t="n">
        <f aca="false">L212+M20</f>
        <v>2211.26814516129</v>
      </c>
      <c r="N212" s="72" t="n">
        <f aca="false">M212+N20</f>
        <v>2694.93588709677</v>
      </c>
      <c r="O212" s="72" t="n">
        <f aca="false">N212+O20</f>
        <v>3173.34637096774</v>
      </c>
      <c r="P212" s="72" t="n">
        <f aca="false">O212+P20</f>
        <v>3664.9</v>
      </c>
      <c r="Q212" s="72" t="n">
        <f aca="false">P212+Q20</f>
        <v>3664.9</v>
      </c>
      <c r="R212" s="72" t="n">
        <f aca="false">Q212+R20</f>
        <v>3664.9</v>
      </c>
      <c r="S212" s="72" t="n">
        <f aca="false">R212+S20</f>
        <v>3664.9</v>
      </c>
      <c r="T212" s="72" t="n">
        <f aca="false">S212+T20</f>
        <v>3664.9</v>
      </c>
      <c r="U212" s="72" t="n">
        <f aca="false">T212+U20</f>
        <v>3664.9</v>
      </c>
      <c r="V212" s="72" t="n">
        <f aca="false">U212+V20</f>
        <v>3664.9</v>
      </c>
      <c r="W212" s="72" t="n">
        <f aca="false">V212+W20</f>
        <v>3664.9</v>
      </c>
      <c r="X212" s="72" t="n">
        <f aca="false">W212+X20</f>
        <v>3664.9</v>
      </c>
      <c r="Y212" s="72" t="n">
        <f aca="false">X212+Y20</f>
        <v>3664.9</v>
      </c>
      <c r="Z212" s="72" t="n">
        <f aca="false">Y212+Z20</f>
        <v>3664.9</v>
      </c>
      <c r="AA212" s="72" t="n">
        <f aca="false">Z212+AA20</f>
        <v>3664.9</v>
      </c>
      <c r="AB212" s="72" t="n">
        <f aca="false">AA212+AB20</f>
        <v>3664.9</v>
      </c>
    </row>
    <row r="213" customFormat="false" ht="15" hidden="false" customHeight="false" outlineLevel="0" collapsed="false">
      <c r="A213" s="29" t="s">
        <v>833</v>
      </c>
      <c r="B213" s="60" t="s">
        <v>834</v>
      </c>
      <c r="C213" s="61" t="n">
        <f aca="false">SUM(E213:P213)</f>
        <v>720885.83</v>
      </c>
      <c r="D213" s="61" t="n">
        <f aca="false">SUM(Q213:AB213)</f>
        <v>0</v>
      </c>
      <c r="E213" s="62" t="n">
        <f aca="false">E20*Engagement_Register!$AD$18*Assumptions!E$194</f>
        <v>0</v>
      </c>
      <c r="F213" s="62" t="n">
        <f aca="false">F20*Engagement_Register!$AD$18*Assumptions!F$194</f>
        <v>0</v>
      </c>
      <c r="G213" s="62" t="n">
        <f aca="false">G20*Engagement_Register!$AD$18*Assumptions!G$194</f>
        <v>0</v>
      </c>
      <c r="H213" s="62" t="n">
        <f aca="false">H20*Engagement_Register!$AD$18*Assumptions!H$194</f>
        <v>0</v>
      </c>
      <c r="I213" s="62" t="n">
        <f aca="false">I20*Engagement_Register!$AD$18*Assumptions!I$194</f>
        <v>68864.67</v>
      </c>
      <c r="J213" s="62" t="n">
        <f aca="false">J20*Engagement_Register!$AD$18*Assumptions!J$194</f>
        <v>90934.41</v>
      </c>
      <c r="K213" s="62" t="n">
        <f aca="false">K20*Engagement_Register!$AD$18*Assumptions!K$194</f>
        <v>94120.95</v>
      </c>
      <c r="L213" s="62" t="n">
        <f aca="false">L20*Engagement_Register!$AD$18*Assumptions!L$194</f>
        <v>82279.61</v>
      </c>
      <c r="M213" s="62" t="n">
        <f aca="false">M20*Engagement_Register!$AD$18*Assumptions!M$194</f>
        <v>98756.8041532258</v>
      </c>
      <c r="N213" s="62" t="n">
        <f aca="false">N20*Engagement_Register!$AD$18*Assumptions!N$194</f>
        <v>95137.4448387097</v>
      </c>
      <c r="O213" s="62" t="n">
        <f aca="false">O20*Engagement_Register!$AD$18*Assumptions!O$194</f>
        <v>94103.3421774193</v>
      </c>
      <c r="P213" s="62" t="n">
        <f aca="false">P20*Engagement_Register!$AD$18*Assumptions!P$194</f>
        <v>96688.5988306452</v>
      </c>
      <c r="Q213" s="62" t="n">
        <f aca="false">Q20*Engagement_Register!$AD$18*Assumptions!Q$194</f>
        <v>0</v>
      </c>
      <c r="R213" s="62" t="n">
        <f aca="false">R20*Engagement_Register!$AD$18*Assumptions!R$194</f>
        <v>0</v>
      </c>
      <c r="S213" s="62" t="n">
        <f aca="false">S20*Engagement_Register!$AD$18*Assumptions!S$194</f>
        <v>0</v>
      </c>
      <c r="T213" s="62" t="n">
        <f aca="false">T20*Engagement_Register!$AD$18*Assumptions!T$194</f>
        <v>0</v>
      </c>
      <c r="U213" s="62" t="n">
        <f aca="false">U20*Engagement_Register!$AD$18*Assumptions!U$194</f>
        <v>0</v>
      </c>
      <c r="V213" s="62" t="n">
        <f aca="false">V20*Engagement_Register!$AD$18*Assumptions!V$194</f>
        <v>0</v>
      </c>
      <c r="W213" s="62" t="n">
        <f aca="false">W20*Engagement_Register!$AD$18*Assumptions!W$194</f>
        <v>0</v>
      </c>
      <c r="X213" s="62" t="n">
        <f aca="false">X20*Engagement_Register!$AD$18*Assumptions!X$194</f>
        <v>0</v>
      </c>
      <c r="Y213" s="62" t="n">
        <f aca="false">Y20*Engagement_Register!$AD$18*Assumptions!Y$194</f>
        <v>0</v>
      </c>
      <c r="Z213" s="62" t="n">
        <f aca="false">Z20*Engagement_Register!$AD$18*Assumptions!Z$194</f>
        <v>0</v>
      </c>
      <c r="AA213" s="62" t="n">
        <f aca="false">AA20*Engagement_Register!$AD$18*Assumptions!AA$194</f>
        <v>0</v>
      </c>
      <c r="AB213" s="62" t="n">
        <f aca="false">AB20*Engagement_Register!$AD$18*Assumptions!AB$194</f>
        <v>0</v>
      </c>
    </row>
    <row r="214" customFormat="false" ht="15" hidden="false" customHeight="false" outlineLevel="0" collapsed="false">
      <c r="A214" s="29" t="s">
        <v>835</v>
      </c>
      <c r="B214" s="60" t="s">
        <v>836</v>
      </c>
      <c r="C214" s="61" t="n">
        <f aca="false">SUM(E214:P214)</f>
        <v>684841.5385</v>
      </c>
      <c r="D214" s="61" t="n">
        <f aca="false">SUM(Q214:AB214)</f>
        <v>0</v>
      </c>
      <c r="E214" s="62" t="n">
        <f aca="false">E20*Engagement_Register!$AE$18*Assumptions!E$194</f>
        <v>0</v>
      </c>
      <c r="F214" s="62" t="n">
        <f aca="false">F20*Engagement_Register!$AE$18*Assumptions!F$194</f>
        <v>0</v>
      </c>
      <c r="G214" s="62" t="n">
        <f aca="false">G20*Engagement_Register!$AE$18*Assumptions!G$194</f>
        <v>0</v>
      </c>
      <c r="H214" s="62" t="n">
        <f aca="false">H20*Engagement_Register!$AE$18*Assumptions!H$194</f>
        <v>0</v>
      </c>
      <c r="I214" s="62" t="n">
        <f aca="false">I20*Engagement_Register!$AE$18*Assumptions!I$194</f>
        <v>65421.4365</v>
      </c>
      <c r="J214" s="62" t="n">
        <f aca="false">J20*Engagement_Register!$AE$18*Assumptions!J$194</f>
        <v>86387.6895</v>
      </c>
      <c r="K214" s="62" t="n">
        <f aca="false">K20*Engagement_Register!$AE$18*Assumptions!K$194</f>
        <v>89414.9025</v>
      </c>
      <c r="L214" s="62" t="n">
        <f aca="false">L20*Engagement_Register!$AE$18*Assumptions!L$194</f>
        <v>78165.6295</v>
      </c>
      <c r="M214" s="62" t="n">
        <f aca="false">M20*Engagement_Register!$AE$18*Assumptions!M$194</f>
        <v>93818.9639455645</v>
      </c>
      <c r="N214" s="62" t="n">
        <f aca="false">N20*Engagement_Register!$AE$18*Assumptions!N$194</f>
        <v>90380.5725967742</v>
      </c>
      <c r="O214" s="62" t="n">
        <f aca="false">O20*Engagement_Register!$AE$18*Assumptions!O$194</f>
        <v>89398.1750685484</v>
      </c>
      <c r="P214" s="62" t="n">
        <f aca="false">P20*Engagement_Register!$AE$18*Assumptions!P$194</f>
        <v>91854.1688891129</v>
      </c>
      <c r="Q214" s="62" t="n">
        <f aca="false">Q20*Engagement_Register!$AE$18*Assumptions!Q$194</f>
        <v>0</v>
      </c>
      <c r="R214" s="62" t="n">
        <f aca="false">R20*Engagement_Register!$AE$18*Assumptions!R$194</f>
        <v>0</v>
      </c>
      <c r="S214" s="62" t="n">
        <f aca="false">S20*Engagement_Register!$AE$18*Assumptions!S$194</f>
        <v>0</v>
      </c>
      <c r="T214" s="62" t="n">
        <f aca="false">T20*Engagement_Register!$AE$18*Assumptions!T$194</f>
        <v>0</v>
      </c>
      <c r="U214" s="62" t="n">
        <f aca="false">U20*Engagement_Register!$AE$18*Assumptions!U$194</f>
        <v>0</v>
      </c>
      <c r="V214" s="62" t="n">
        <f aca="false">V20*Engagement_Register!$AE$18*Assumptions!V$194</f>
        <v>0</v>
      </c>
      <c r="W214" s="62" t="n">
        <f aca="false">W20*Engagement_Register!$AE$18*Assumptions!W$194</f>
        <v>0</v>
      </c>
      <c r="X214" s="62" t="n">
        <f aca="false">X20*Engagement_Register!$AE$18*Assumptions!X$194</f>
        <v>0</v>
      </c>
      <c r="Y214" s="62" t="n">
        <f aca="false">Y20*Engagement_Register!$AE$18*Assumptions!Y$194</f>
        <v>0</v>
      </c>
      <c r="Z214" s="62" t="n">
        <f aca="false">Z20*Engagement_Register!$AE$18*Assumptions!Z$194</f>
        <v>0</v>
      </c>
      <c r="AA214" s="62" t="n">
        <f aca="false">AA20*Engagement_Register!$AE$18*Assumptions!AA$194</f>
        <v>0</v>
      </c>
      <c r="AB214" s="62" t="n">
        <f aca="false">AB20*Engagement_Register!$AE$18*Assumptions!AB$194</f>
        <v>0</v>
      </c>
    </row>
    <row r="215" customFormat="false" ht="15" hidden="false" customHeight="false" outlineLevel="0" collapsed="false">
      <c r="A215" s="68" t="s">
        <v>349</v>
      </c>
      <c r="B215" s="69" t="s">
        <v>837</v>
      </c>
      <c r="C215" s="70" t="n">
        <f aca="false">SUM(E215:P215)</f>
        <v>663559.416768953</v>
      </c>
      <c r="D215" s="70" t="n">
        <f aca="false">SUM(Q215:AB215)</f>
        <v>0</v>
      </c>
      <c r="E215" s="74" t="n">
        <f aca="false">IF(E$5="A",Inputs_Actuals!E72,E214*(1-Engagement_Register!$AS$18))</f>
        <v>0</v>
      </c>
      <c r="F215" s="74" t="n">
        <f aca="false">IF(F$5="A",Inputs_Actuals!F72,F214*(1-Engagement_Register!$AS$18))</f>
        <v>0</v>
      </c>
      <c r="G215" s="74" t="n">
        <f aca="false">IF(G$5="A",Inputs_Actuals!G72,G214*(1-Engagement_Register!$AS$18))</f>
        <v>0</v>
      </c>
      <c r="H215" s="74" t="n">
        <f aca="false">IF(H$5="A",Inputs_Actuals!H72,H214*(1-Engagement_Register!$AS$18))</f>
        <v>0</v>
      </c>
      <c r="I215" s="74" t="n">
        <f aca="false">IF(I$5="A",Inputs_Actuals!I72,I214*(1-Engagement_Register!$AS$18))</f>
        <v>63549.37</v>
      </c>
      <c r="J215" s="74" t="n">
        <f aca="false">IF(J$5="A",Inputs_Actuals!J72,J214*(1-Engagement_Register!$AS$18))</f>
        <v>84859.48</v>
      </c>
      <c r="K215" s="74" t="n">
        <f aca="false">IF(K$5="A",Inputs_Actuals!K72,K214*(1-Engagement_Register!$AS$18))</f>
        <v>87157</v>
      </c>
      <c r="L215" s="74" t="n">
        <f aca="false">IF(L$5="A",Inputs_Actuals!L72,L214*(1-Engagement_Register!$AS$18))</f>
        <v>75602.82</v>
      </c>
      <c r="M215" s="74" t="n">
        <f aca="false">IF(M$5="A",Inputs_Actuals!M72,M214*(1-Engagement_Register!$AS$18))</f>
        <v>90465.9040764381</v>
      </c>
      <c r="N215" s="74" t="n">
        <f aca="false">IF(N$5="A",Inputs_Actuals!N72,N214*(1-Engagement_Register!$AS$18))</f>
        <v>87150.3997385582</v>
      </c>
      <c r="O215" s="74" t="n">
        <f aca="false">IF(O$5="A",Inputs_Actuals!O72,O214*(1-Engagement_Register!$AS$18))</f>
        <v>86203.1127848782</v>
      </c>
      <c r="P215" s="74" t="n">
        <f aca="false">IF(P$5="A",Inputs_Actuals!P72,P214*(1-Engagement_Register!$AS$18))</f>
        <v>88571.3301690781</v>
      </c>
      <c r="Q215" s="74" t="n">
        <f aca="false">IF(Q$5="A",Inputs_Actuals!Q72,Q214*(1-Engagement_Register!$AS$18))</f>
        <v>0</v>
      </c>
      <c r="R215" s="74" t="n">
        <f aca="false">IF(R$5="A",Inputs_Actuals!R72,R214*(1-Engagement_Register!$AS$18))</f>
        <v>0</v>
      </c>
      <c r="S215" s="74" t="n">
        <f aca="false">IF(S$5="A",Inputs_Actuals!S72,S214*(1-Engagement_Register!$AS$18))</f>
        <v>0</v>
      </c>
      <c r="T215" s="74" t="n">
        <f aca="false">IF(T$5="A",Inputs_Actuals!T72,T214*(1-Engagement_Register!$AS$18))</f>
        <v>0</v>
      </c>
      <c r="U215" s="74" t="n">
        <f aca="false">IF(U$5="A",Inputs_Actuals!U72,U214*(1-Engagement_Register!$AS$18))</f>
        <v>0</v>
      </c>
      <c r="V215" s="74" t="n">
        <f aca="false">IF(V$5="A",Inputs_Actuals!V72,V214*(1-Engagement_Register!$AS$18))</f>
        <v>0</v>
      </c>
      <c r="W215" s="74" t="n">
        <f aca="false">IF(W$5="A",Inputs_Actuals!W72,W214*(1-Engagement_Register!$AS$18))</f>
        <v>0</v>
      </c>
      <c r="X215" s="74" t="n">
        <f aca="false">IF(X$5="A",Inputs_Actuals!X72,X214*(1-Engagement_Register!$AS$18))</f>
        <v>0</v>
      </c>
      <c r="Y215" s="74" t="n">
        <f aca="false">IF(Y$5="A",Inputs_Actuals!Y72,Y214*(1-Engagement_Register!$AS$18))</f>
        <v>0</v>
      </c>
      <c r="Z215" s="74" t="n">
        <f aca="false">IF(Z$5="A",Inputs_Actuals!Z72,Z214*(1-Engagement_Register!$AS$18))</f>
        <v>0</v>
      </c>
      <c r="AA215" s="74" t="n">
        <f aca="false">IF(AA$5="A",Inputs_Actuals!AA72,AA214*(1-Engagement_Register!$AS$18))</f>
        <v>0</v>
      </c>
      <c r="AB215" s="74" t="n">
        <f aca="false">IF(AB$5="A",Inputs_Actuals!AB72,AB214*(1-Engagement_Register!$AS$18))</f>
        <v>0</v>
      </c>
    </row>
    <row r="216" customFormat="false" ht="15" hidden="false" customHeight="false" outlineLevel="0" collapsed="false">
      <c r="A216" s="29" t="s">
        <v>838</v>
      </c>
      <c r="B216" s="60" t="s">
        <v>839</v>
      </c>
      <c r="C216" s="61" t="n">
        <f aca="false">SUM(E216:P216)</f>
        <v>574988.086599875</v>
      </c>
      <c r="D216" s="61" t="n">
        <f aca="false">SUM(Q216:AB216)</f>
        <v>88571.3301690781</v>
      </c>
      <c r="E216" s="62" t="n">
        <f aca="false">IF(E$5="A",Inputs_Actuals!E73,0)</f>
        <v>0</v>
      </c>
      <c r="F216" s="62" t="n">
        <f aca="false">IF(F$5="A",Inputs_Actuals!F73,E215)</f>
        <v>0</v>
      </c>
      <c r="G216" s="62" t="n">
        <f aca="false">IF(G$5="A",Inputs_Actuals!G73,F215)</f>
        <v>0</v>
      </c>
      <c r="H216" s="62" t="n">
        <f aca="false">IF(H$5="A",Inputs_Actuals!H73,G215)</f>
        <v>0</v>
      </c>
      <c r="I216" s="62" t="n">
        <f aca="false">IF(I$5="A",Inputs_Actuals!I73,H215)</f>
        <v>0</v>
      </c>
      <c r="J216" s="62" t="n">
        <f aca="false">IF(J$5="A",Inputs_Actuals!J73,I215)</f>
        <v>63549.37</v>
      </c>
      <c r="K216" s="62" t="n">
        <f aca="false">IF(K$5="A",Inputs_Actuals!K73,J215)</f>
        <v>84859.48</v>
      </c>
      <c r="L216" s="62" t="n">
        <f aca="false">IF(L$5="A",Inputs_Actuals!L73,K215)</f>
        <v>87157</v>
      </c>
      <c r="M216" s="62" t="n">
        <f aca="false">IF(M$5="A",Inputs_Actuals!M73,L215)</f>
        <v>75602.82</v>
      </c>
      <c r="N216" s="62" t="n">
        <f aca="false">IF(N$5="A",Inputs_Actuals!N73,M215)</f>
        <v>90465.9040764381</v>
      </c>
      <c r="O216" s="62" t="n">
        <f aca="false">IF(O$5="A",Inputs_Actuals!O73,N215)</f>
        <v>87150.3997385582</v>
      </c>
      <c r="P216" s="62" t="n">
        <f aca="false">IF(P$5="A",Inputs_Actuals!P73,O215)</f>
        <v>86203.1127848782</v>
      </c>
      <c r="Q216" s="62" t="n">
        <f aca="false">IF(Q$5="A",Inputs_Actuals!Q73,P215)</f>
        <v>88571.3301690781</v>
      </c>
      <c r="R216" s="62" t="n">
        <f aca="false">IF(R$5="A",Inputs_Actuals!R73,Q215)</f>
        <v>0</v>
      </c>
      <c r="S216" s="62" t="n">
        <f aca="false">IF(S$5="A",Inputs_Actuals!S73,R215)</f>
        <v>0</v>
      </c>
      <c r="T216" s="62" t="n">
        <f aca="false">IF(T$5="A",Inputs_Actuals!T73,S215)</f>
        <v>0</v>
      </c>
      <c r="U216" s="62" t="n">
        <f aca="false">IF(U$5="A",Inputs_Actuals!U73,T215)</f>
        <v>0</v>
      </c>
      <c r="V216" s="62" t="n">
        <f aca="false">IF(V$5="A",Inputs_Actuals!V73,U215)</f>
        <v>0</v>
      </c>
      <c r="W216" s="62" t="n">
        <f aca="false">IF(W$5="A",Inputs_Actuals!W73,V215)</f>
        <v>0</v>
      </c>
      <c r="X216" s="62" t="n">
        <f aca="false">IF(X$5="A",Inputs_Actuals!X73,W215)</f>
        <v>0</v>
      </c>
      <c r="Y216" s="62" t="n">
        <f aca="false">IF(Y$5="A",Inputs_Actuals!Y73,X215)</f>
        <v>0</v>
      </c>
      <c r="Z216" s="62" t="n">
        <f aca="false">IF(Z$5="A",Inputs_Actuals!Z73,Y215)</f>
        <v>0</v>
      </c>
      <c r="AA216" s="62" t="n">
        <f aca="false">IF(AA$5="A",Inputs_Actuals!AA73,Z215)</f>
        <v>0</v>
      </c>
      <c r="AB216" s="62" t="n">
        <f aca="false">IF(AB$5="A",Inputs_Actuals!AB73,AA215)</f>
        <v>0</v>
      </c>
    </row>
    <row r="217" customFormat="false" ht="15" hidden="false" customHeight="false" outlineLevel="0" collapsed="false">
      <c r="A217" s="29" t="s">
        <v>840</v>
      </c>
      <c r="B217" s="60"/>
      <c r="C217" s="61" t="n">
        <f aca="false">P217</f>
        <v>574988.086599875</v>
      </c>
      <c r="D217" s="61" t="n">
        <f aca="false">AB217</f>
        <v>663559.416768953</v>
      </c>
      <c r="E217" s="62" t="n">
        <f aca="false">Engagement_Register!$V$18+E216</f>
        <v>0</v>
      </c>
      <c r="F217" s="71" t="n">
        <f aca="false">E217+F216</f>
        <v>0</v>
      </c>
      <c r="G217" s="71" t="n">
        <f aca="false">F217+G216</f>
        <v>0</v>
      </c>
      <c r="H217" s="71" t="n">
        <f aca="false">G217+H216</f>
        <v>0</v>
      </c>
      <c r="I217" s="71" t="n">
        <f aca="false">H217+I216</f>
        <v>0</v>
      </c>
      <c r="J217" s="71" t="n">
        <f aca="false">I217+J216</f>
        <v>63549.37</v>
      </c>
      <c r="K217" s="71" t="n">
        <f aca="false">J217+K216</f>
        <v>148408.85</v>
      </c>
      <c r="L217" s="71" t="n">
        <f aca="false">K217+L216</f>
        <v>235565.85</v>
      </c>
      <c r="M217" s="71" t="n">
        <f aca="false">L217+M216</f>
        <v>311168.67</v>
      </c>
      <c r="N217" s="71" t="n">
        <f aca="false">M217+N216</f>
        <v>401634.574076438</v>
      </c>
      <c r="O217" s="71" t="n">
        <f aca="false">N217+O216</f>
        <v>488784.973814996</v>
      </c>
      <c r="P217" s="71" t="n">
        <f aca="false">O217+P216</f>
        <v>574988.086599875</v>
      </c>
      <c r="Q217" s="71" t="n">
        <f aca="false">P217+Q216</f>
        <v>663559.416768953</v>
      </c>
      <c r="R217" s="71" t="n">
        <f aca="false">Q217+R216</f>
        <v>663559.416768953</v>
      </c>
      <c r="S217" s="71" t="n">
        <f aca="false">R217+S216</f>
        <v>663559.416768953</v>
      </c>
      <c r="T217" s="71" t="n">
        <f aca="false">S217+T216</f>
        <v>663559.416768953</v>
      </c>
      <c r="U217" s="71" t="n">
        <f aca="false">T217+U216</f>
        <v>663559.416768953</v>
      </c>
      <c r="V217" s="71" t="n">
        <f aca="false">U217+V216</f>
        <v>663559.416768953</v>
      </c>
      <c r="W217" s="71" t="n">
        <f aca="false">V217+W216</f>
        <v>663559.416768953</v>
      </c>
      <c r="X217" s="71" t="n">
        <f aca="false">W217+X216</f>
        <v>663559.416768953</v>
      </c>
      <c r="Y217" s="71" t="n">
        <f aca="false">X217+Y216</f>
        <v>663559.416768953</v>
      </c>
      <c r="Z217" s="71" t="n">
        <f aca="false">Y217+Z216</f>
        <v>663559.416768953</v>
      </c>
      <c r="AA217" s="71" t="n">
        <f aca="false">Z217+AA216</f>
        <v>663559.416768953</v>
      </c>
      <c r="AB217" s="71" t="n">
        <f aca="false">AA217+AB216</f>
        <v>663559.416768953</v>
      </c>
    </row>
    <row r="218" customFormat="false" ht="15" hidden="false" customHeight="false" outlineLevel="0" collapsed="false">
      <c r="A218" s="29" t="s">
        <v>841</v>
      </c>
      <c r="B218" s="60" t="s">
        <v>842</v>
      </c>
      <c r="C218" s="61" t="n">
        <f aca="false">SUM(E218:P218)</f>
        <v>50935.1</v>
      </c>
      <c r="D218" s="61" t="n">
        <f aca="false">SUM(Q218:AB218)</f>
        <v>0</v>
      </c>
      <c r="E218" s="62" t="n">
        <f aca="false">IF(E$5="A",Inputs_Actuals!E74,E20*Engagement_Register!$N$18*Assumptions!E$195)</f>
        <v>0</v>
      </c>
      <c r="F218" s="62" t="n">
        <f aca="false">IF(F$5="A",Inputs_Actuals!F74,F20*Engagement_Register!$N$18*Assumptions!F$195)</f>
        <v>0</v>
      </c>
      <c r="G218" s="62" t="n">
        <f aca="false">IF(G$5="A",Inputs_Actuals!G74,G20*Engagement_Register!$N$18*Assumptions!G$195)</f>
        <v>0</v>
      </c>
      <c r="H218" s="62" t="n">
        <f aca="false">IF(H$5="A",Inputs_Actuals!H74,H20*Engagement_Register!$N$18*Assumptions!H$195)</f>
        <v>0</v>
      </c>
      <c r="I218" s="62" t="n">
        <f aca="false">IF(I$5="A",Inputs_Actuals!I74,I20*Engagement_Register!$N$18*Assumptions!I$195)</f>
        <v>4916.45</v>
      </c>
      <c r="J218" s="62" t="n">
        <f aca="false">IF(J$5="A",Inputs_Actuals!J74,J20*Engagement_Register!$N$18*Assumptions!J$195)</f>
        <v>6841.76</v>
      </c>
      <c r="K218" s="62" t="n">
        <f aca="false">IF(K$5="A",Inputs_Actuals!K74,K20*Engagement_Register!$N$18*Assumptions!K$195)</f>
        <v>7114.82</v>
      </c>
      <c r="L218" s="62" t="n">
        <f aca="false">IF(L$5="A",Inputs_Actuals!L74,L20*Engagement_Register!$N$18*Assumptions!L$195)</f>
        <v>4682.27</v>
      </c>
      <c r="M218" s="62" t="n">
        <f aca="false">IF(M$5="A",Inputs_Actuals!M74,M20*Engagement_Register!$N$18*Assumptions!M$195)</f>
        <v>7028.95403225806</v>
      </c>
      <c r="N218" s="62" t="n">
        <f aca="false">IF(N$5="A",Inputs_Actuals!N74,N20*Engagement_Register!$N$18*Assumptions!N$195)</f>
        <v>6771.34838709677</v>
      </c>
      <c r="O218" s="62" t="n">
        <f aca="false">IF(O$5="A",Inputs_Actuals!O74,O20*Engagement_Register!$N$18*Assumptions!O$195)</f>
        <v>6697.74677419355</v>
      </c>
      <c r="P218" s="62" t="n">
        <f aca="false">IF(P$5="A",Inputs_Actuals!P74,P20*Engagement_Register!$N$18*Assumptions!P$195)</f>
        <v>6881.75080645161</v>
      </c>
      <c r="Q218" s="62" t="n">
        <f aca="false">IF(Q$5="A",Inputs_Actuals!Q74,Q20*Engagement_Register!$N$18*Assumptions!Q$195)</f>
        <v>0</v>
      </c>
      <c r="R218" s="62" t="n">
        <f aca="false">IF(R$5="A",Inputs_Actuals!R74,R20*Engagement_Register!$N$18*Assumptions!R$195)</f>
        <v>0</v>
      </c>
      <c r="S218" s="62" t="n">
        <f aca="false">IF(S$5="A",Inputs_Actuals!S74,S20*Engagement_Register!$N$18*Assumptions!S$195)</f>
        <v>0</v>
      </c>
      <c r="T218" s="62" t="n">
        <f aca="false">IF(T$5="A",Inputs_Actuals!T74,T20*Engagement_Register!$N$18*Assumptions!T$195)</f>
        <v>0</v>
      </c>
      <c r="U218" s="62" t="n">
        <f aca="false">IF(U$5="A",Inputs_Actuals!U74,U20*Engagement_Register!$N$18*Assumptions!U$195)</f>
        <v>0</v>
      </c>
      <c r="V218" s="62" t="n">
        <f aca="false">IF(V$5="A",Inputs_Actuals!V74,V20*Engagement_Register!$N$18*Assumptions!V$195)</f>
        <v>0</v>
      </c>
      <c r="W218" s="62" t="n">
        <f aca="false">IF(W$5="A",Inputs_Actuals!W74,W20*Engagement_Register!$N$18*Assumptions!W$195)</f>
        <v>0</v>
      </c>
      <c r="X218" s="62" t="n">
        <f aca="false">IF(X$5="A",Inputs_Actuals!X74,X20*Engagement_Register!$N$18*Assumptions!X$195)</f>
        <v>0</v>
      </c>
      <c r="Y218" s="62" t="n">
        <f aca="false">IF(Y$5="A",Inputs_Actuals!Y74,Y20*Engagement_Register!$N$18*Assumptions!Y$195)</f>
        <v>0</v>
      </c>
      <c r="Z218" s="62" t="n">
        <f aca="false">IF(Z$5="A",Inputs_Actuals!Z74,Z20*Engagement_Register!$N$18*Assumptions!Z$195)</f>
        <v>0</v>
      </c>
      <c r="AA218" s="62" t="n">
        <f aca="false">IF(AA$5="A",Inputs_Actuals!AA74,AA20*Engagement_Register!$N$18*Assumptions!AA$195)</f>
        <v>0</v>
      </c>
      <c r="AB218" s="62" t="n">
        <f aca="false">IF(AB$5="A",Inputs_Actuals!AB74,AB20*Engagement_Register!$N$18*Assumptions!AB$195)</f>
        <v>0</v>
      </c>
    </row>
    <row r="219" customFormat="false" ht="15" hidden="false" customHeight="false" outlineLevel="0" collapsed="false">
      <c r="A219" s="29" t="s">
        <v>843</v>
      </c>
      <c r="B219" s="60" t="s">
        <v>844</v>
      </c>
      <c r="C219" s="61" t="n">
        <f aca="false">SUM(E219:P219)</f>
        <v>50935.1</v>
      </c>
      <c r="D219" s="61" t="n">
        <f aca="false">SUM(Q219:AB219)</f>
        <v>0</v>
      </c>
      <c r="E219" s="71" t="n">
        <f aca="false">E218</f>
        <v>0</v>
      </c>
      <c r="F219" s="71" t="n">
        <f aca="false">F218</f>
        <v>0</v>
      </c>
      <c r="G219" s="71" t="n">
        <f aca="false">G218</f>
        <v>0</v>
      </c>
      <c r="H219" s="71" t="n">
        <f aca="false">H218</f>
        <v>0</v>
      </c>
      <c r="I219" s="71" t="n">
        <f aca="false">I218</f>
        <v>4916.45</v>
      </c>
      <c r="J219" s="71" t="n">
        <f aca="false">J218</f>
        <v>6841.76</v>
      </c>
      <c r="K219" s="71" t="n">
        <f aca="false">K218</f>
        <v>7114.82</v>
      </c>
      <c r="L219" s="71" t="n">
        <f aca="false">L218</f>
        <v>4682.27</v>
      </c>
      <c r="M219" s="71" t="n">
        <f aca="false">M218</f>
        <v>7028.95403225806</v>
      </c>
      <c r="N219" s="71" t="n">
        <f aca="false">N218</f>
        <v>6771.34838709677</v>
      </c>
      <c r="O219" s="71" t="n">
        <f aca="false">O218</f>
        <v>6697.74677419355</v>
      </c>
      <c r="P219" s="71" t="n">
        <f aca="false">P218</f>
        <v>6881.75080645161</v>
      </c>
      <c r="Q219" s="71" t="n">
        <f aca="false">Q218</f>
        <v>0</v>
      </c>
      <c r="R219" s="71" t="n">
        <f aca="false">R218</f>
        <v>0</v>
      </c>
      <c r="S219" s="71" t="n">
        <f aca="false">S218</f>
        <v>0</v>
      </c>
      <c r="T219" s="71" t="n">
        <f aca="false">T218</f>
        <v>0</v>
      </c>
      <c r="U219" s="71" t="n">
        <f aca="false">U218</f>
        <v>0</v>
      </c>
      <c r="V219" s="71" t="n">
        <f aca="false">V218</f>
        <v>0</v>
      </c>
      <c r="W219" s="71" t="n">
        <f aca="false">W218</f>
        <v>0</v>
      </c>
      <c r="X219" s="71" t="n">
        <f aca="false">X218</f>
        <v>0</v>
      </c>
      <c r="Y219" s="71" t="n">
        <f aca="false">Y218</f>
        <v>0</v>
      </c>
      <c r="Z219" s="71" t="n">
        <f aca="false">Z218</f>
        <v>0</v>
      </c>
      <c r="AA219" s="71" t="n">
        <f aca="false">AA218</f>
        <v>0</v>
      </c>
      <c r="AB219" s="71" t="n">
        <f aca="false">AB218</f>
        <v>0</v>
      </c>
    </row>
    <row r="220" customFormat="false" ht="15" hidden="false" customHeight="false" outlineLevel="0" collapsed="false">
      <c r="A220" s="29" t="s">
        <v>845</v>
      </c>
      <c r="B220" s="60" t="s">
        <v>846</v>
      </c>
      <c r="C220" s="61" t="n">
        <f aca="false">SUM(E220:P220)</f>
        <v>44053.3491935484</v>
      </c>
      <c r="D220" s="61" t="n">
        <f aca="false">SUM(Q220:AB220)</f>
        <v>6881.75080645161</v>
      </c>
      <c r="E220" s="62" t="n">
        <f aca="false">IF(E$5="A",Inputs_Actuals!E75,0)</f>
        <v>0</v>
      </c>
      <c r="F220" s="62" t="n">
        <f aca="false">IF(F$5="A",Inputs_Actuals!F75,E219)</f>
        <v>0</v>
      </c>
      <c r="G220" s="62" t="n">
        <f aca="false">IF(G$5="A",Inputs_Actuals!G75,F219)</f>
        <v>0</v>
      </c>
      <c r="H220" s="62" t="n">
        <f aca="false">IF(H$5="A",Inputs_Actuals!H75,G219)</f>
        <v>0</v>
      </c>
      <c r="I220" s="62" t="n">
        <f aca="false">IF(I$5="A",Inputs_Actuals!I75,H219)</f>
        <v>0</v>
      </c>
      <c r="J220" s="62" t="n">
        <f aca="false">IF(J$5="A",Inputs_Actuals!J75,I219)</f>
        <v>4916.45</v>
      </c>
      <c r="K220" s="62" t="n">
        <f aca="false">IF(K$5="A",Inputs_Actuals!K75,J219)</f>
        <v>6841.76</v>
      </c>
      <c r="L220" s="62" t="n">
        <f aca="false">IF(L$5="A",Inputs_Actuals!L75,K219)</f>
        <v>7114.82</v>
      </c>
      <c r="M220" s="62" t="n">
        <f aca="false">IF(M$5="A",Inputs_Actuals!M75,L219)</f>
        <v>4682.27</v>
      </c>
      <c r="N220" s="62" t="n">
        <f aca="false">IF(N$5="A",Inputs_Actuals!N75,M219)</f>
        <v>7028.95403225806</v>
      </c>
      <c r="O220" s="62" t="n">
        <f aca="false">IF(O$5="A",Inputs_Actuals!O75,N219)</f>
        <v>6771.34838709677</v>
      </c>
      <c r="P220" s="62" t="n">
        <f aca="false">IF(P$5="A",Inputs_Actuals!P75,O219)</f>
        <v>6697.74677419355</v>
      </c>
      <c r="Q220" s="62" t="n">
        <f aca="false">IF(Q$5="A",Inputs_Actuals!Q75,P219)</f>
        <v>6881.75080645161</v>
      </c>
      <c r="R220" s="62" t="n">
        <f aca="false">IF(R$5="A",Inputs_Actuals!R75,Q219)</f>
        <v>0</v>
      </c>
      <c r="S220" s="62" t="n">
        <f aca="false">IF(S$5="A",Inputs_Actuals!S75,R219)</f>
        <v>0</v>
      </c>
      <c r="T220" s="62" t="n">
        <f aca="false">IF(T$5="A",Inputs_Actuals!T75,S219)</f>
        <v>0</v>
      </c>
      <c r="U220" s="62" t="n">
        <f aca="false">IF(U$5="A",Inputs_Actuals!U75,T219)</f>
        <v>0</v>
      </c>
      <c r="V220" s="62" t="n">
        <f aca="false">IF(V$5="A",Inputs_Actuals!V75,U219)</f>
        <v>0</v>
      </c>
      <c r="W220" s="62" t="n">
        <f aca="false">IF(W$5="A",Inputs_Actuals!W75,V219)</f>
        <v>0</v>
      </c>
      <c r="X220" s="62" t="n">
        <f aca="false">IF(X$5="A",Inputs_Actuals!X75,W219)</f>
        <v>0</v>
      </c>
      <c r="Y220" s="62" t="n">
        <f aca="false">IF(Y$5="A",Inputs_Actuals!Y75,X219)</f>
        <v>0</v>
      </c>
      <c r="Z220" s="62" t="n">
        <f aca="false">IF(Z$5="A",Inputs_Actuals!Z75,Y219)</f>
        <v>0</v>
      </c>
      <c r="AA220" s="62" t="n">
        <f aca="false">IF(AA$5="A",Inputs_Actuals!AA75,Z219)</f>
        <v>0</v>
      </c>
      <c r="AB220" s="62" t="n">
        <f aca="false">IF(AB$5="A",Inputs_Actuals!AB75,AA219)</f>
        <v>0</v>
      </c>
    </row>
    <row r="221" customFormat="false" ht="15" hidden="false" customHeight="false" outlineLevel="0" collapsed="false">
      <c r="A221" s="29" t="s">
        <v>847</v>
      </c>
      <c r="B221" s="60" t="s">
        <v>848</v>
      </c>
      <c r="C221" s="61" t="n">
        <f aca="false">P221</f>
        <v>95453.0809755298</v>
      </c>
      <c r="D221" s="61" t="n">
        <f aca="false">AB221</f>
        <v>0</v>
      </c>
      <c r="E221" s="62" t="n">
        <f aca="false">Engagement_Register!$X$18+E215+E219-E220-E216</f>
        <v>0</v>
      </c>
      <c r="F221" s="71" t="n">
        <f aca="false">E221+F215+F219-F220-F216</f>
        <v>0</v>
      </c>
      <c r="G221" s="71" t="n">
        <f aca="false">F221+G215+G219-G220-G216</f>
        <v>0</v>
      </c>
      <c r="H221" s="71" t="n">
        <f aca="false">G221+H215+H219-H220-H216</f>
        <v>0</v>
      </c>
      <c r="I221" s="71" t="n">
        <f aca="false">H221+I215+I219-I220-I216</f>
        <v>68465.82</v>
      </c>
      <c r="J221" s="71" t="n">
        <f aca="false">I221+J215+J219-J220-J216</f>
        <v>91701.24</v>
      </c>
      <c r="K221" s="71" t="n">
        <f aca="false">J221+K215+K219-K220-K216</f>
        <v>94271.82</v>
      </c>
      <c r="L221" s="71" t="n">
        <f aca="false">K221+L215+L219-L220-L216</f>
        <v>80285.09</v>
      </c>
      <c r="M221" s="71" t="n">
        <f aca="false">L221+M215+M219-M220-M216</f>
        <v>97494.8581086962</v>
      </c>
      <c r="N221" s="71" t="n">
        <f aca="false">M221+N215+N219-N220-N216</f>
        <v>93921.748125655</v>
      </c>
      <c r="O221" s="71" t="n">
        <f aca="false">N221+O215+O219-O220-O216</f>
        <v>92900.8595590718</v>
      </c>
      <c r="P221" s="71" t="n">
        <f aca="false">O221+P215+P219-P220-P216</f>
        <v>95453.0809755298</v>
      </c>
      <c r="Q221" s="71" t="n">
        <f aca="false">P221+Q215+Q219-Q220-Q216</f>
        <v>0</v>
      </c>
      <c r="R221" s="71" t="n">
        <f aca="false">Q221+R215+R219-R220-R216</f>
        <v>0</v>
      </c>
      <c r="S221" s="71" t="n">
        <f aca="false">R221+S215+S219-S220-S216</f>
        <v>0</v>
      </c>
      <c r="T221" s="71" t="n">
        <f aca="false">S221+T215+T219-T220-T216</f>
        <v>0</v>
      </c>
      <c r="U221" s="71" t="n">
        <f aca="false">T221+U215+U219-U220-U216</f>
        <v>0</v>
      </c>
      <c r="V221" s="71" t="n">
        <f aca="false">U221+V215+V219-V220-V216</f>
        <v>0</v>
      </c>
      <c r="W221" s="71" t="n">
        <f aca="false">V221+W215+W219-W220-W216</f>
        <v>0</v>
      </c>
      <c r="X221" s="71" t="n">
        <f aca="false">W221+X215+X219-X220-X216</f>
        <v>0</v>
      </c>
      <c r="Y221" s="71" t="n">
        <f aca="false">X221+Y215+Y219-Y220-Y216</f>
        <v>0</v>
      </c>
      <c r="Z221" s="71" t="n">
        <f aca="false">Y221+Z215+Z219-Z220-Z216</f>
        <v>0</v>
      </c>
      <c r="AA221" s="71" t="n">
        <f aca="false">Z221+AA215+AA219-AA220-AA216</f>
        <v>0</v>
      </c>
      <c r="AB221" s="71" t="n">
        <f aca="false">AA221+AB215+AB219-AB220-AB216</f>
        <v>0</v>
      </c>
    </row>
    <row r="222" customFormat="false" ht="15" hidden="false" customHeight="false" outlineLevel="0" collapsed="false">
      <c r="A222" s="29" t="s">
        <v>849</v>
      </c>
      <c r="B222" s="60" t="s">
        <v>850</v>
      </c>
      <c r="C222" s="61" t="n">
        <f aca="false">P222</f>
        <v>0</v>
      </c>
      <c r="D222" s="61" t="n">
        <f aca="false">AB222</f>
        <v>0</v>
      </c>
      <c r="E222" s="62" t="n">
        <f aca="false">MAX(0,Engagement_Register!$AM$18-E212)*Engagement_Register!$AE$18*Assumptions!E$194*(1-Engagement_Register!$AS$18)</f>
        <v>660365.520188953</v>
      </c>
      <c r="F222" s="62" t="n">
        <f aca="false">MAX(0,Engagement_Register!$AM$18-F212)*Engagement_Register!$AE$18*Assumptions!F$194*(1-Engagement_Register!$AS$18)</f>
        <v>660365.520188953</v>
      </c>
      <c r="G222" s="62" t="n">
        <f aca="false">MAX(0,Engagement_Register!$AM$18-G212)*Engagement_Register!$AE$18*Assumptions!G$194*(1-Engagement_Register!$AS$18)</f>
        <v>660365.520188953</v>
      </c>
      <c r="H222" s="62" t="n">
        <f aca="false">MAX(0,Engagement_Register!$AM$18-H212)*Engagement_Register!$AE$18*Assumptions!H$194*(1-Engagement_Register!$AS$18)</f>
        <v>660365.520188953</v>
      </c>
      <c r="I222" s="62" t="n">
        <f aca="false">MAX(0,Engagement_Register!$AM$18-I212)*Engagement_Register!$AE$18*Assumptions!I$194*(1-Engagement_Register!$AS$18)</f>
        <v>597282.224978128</v>
      </c>
      <c r="J222" s="62" t="n">
        <f aca="false">MAX(0,Engagement_Register!$AM$18-J212)*Engagement_Register!$AE$18*Assumptions!J$194*(1-Engagement_Register!$AS$18)</f>
        <v>513982.00396709</v>
      </c>
      <c r="K222" s="62" t="n">
        <f aca="false">MAX(0,Engagement_Register!$AM$18-K212)*Engagement_Register!$AE$18*Assumptions!K$194*(1-Engagement_Register!$AS$18)</f>
        <v>427762.761583829</v>
      </c>
      <c r="L222" s="62" t="n">
        <f aca="false">MAX(0,Engagement_Register!$AM$18-L212)*Engagement_Register!$AE$18*Assumptions!L$194*(1-Engagement_Register!$AS$18)</f>
        <v>352390.746768953</v>
      </c>
      <c r="M222" s="62" t="n">
        <f aca="false">MAX(0,Engagement_Register!$AM$18-M212)*Engagement_Register!$AE$18*Assumptions!M$194*(1-Engagement_Register!$AS$18)</f>
        <v>261924.842692515</v>
      </c>
      <c r="N222" s="62" t="n">
        <f aca="false">MAX(0,Engagement_Register!$AM$18-N212)*Engagement_Register!$AE$18*Assumptions!N$194*(1-Engagement_Register!$AS$18)</f>
        <v>174774.442953956</v>
      </c>
      <c r="O222" s="62" t="n">
        <f aca="false">MAX(0,Engagement_Register!$AM$18-O212)*Engagement_Register!$AE$18*Assumptions!O$194*(1-Engagement_Register!$AS$18)</f>
        <v>88571.3301690782</v>
      </c>
      <c r="P222" s="62" t="n">
        <f aca="false">MAX(0,Engagement_Register!$AM$18-P212)*Engagement_Register!$AE$18*Assumptions!P$194*(1-Engagement_Register!$AS$18)</f>
        <v>0</v>
      </c>
      <c r="Q222" s="62" t="n">
        <f aca="false">MAX(0,Engagement_Register!$AM$18-Q212)*Engagement_Register!$AE$18*Assumptions!Q$194*(1-Engagement_Register!$AS$18)</f>
        <v>0</v>
      </c>
      <c r="R222" s="62" t="n">
        <f aca="false">MAX(0,Engagement_Register!$AM$18-R212)*Engagement_Register!$AE$18*Assumptions!R$194*(1-Engagement_Register!$AS$18)</f>
        <v>0</v>
      </c>
      <c r="S222" s="62" t="n">
        <f aca="false">MAX(0,Engagement_Register!$AM$18-S212)*Engagement_Register!$AE$18*Assumptions!S$194*(1-Engagement_Register!$AS$18)</f>
        <v>0</v>
      </c>
      <c r="T222" s="62" t="n">
        <f aca="false">MAX(0,Engagement_Register!$AM$18-T212)*Engagement_Register!$AE$18*Assumptions!T$194*(1-Engagement_Register!$AS$18)</f>
        <v>0</v>
      </c>
      <c r="U222" s="62" t="n">
        <f aca="false">MAX(0,Engagement_Register!$AM$18-U212)*Engagement_Register!$AE$18*Assumptions!U$194*(1-Engagement_Register!$AS$18)</f>
        <v>0</v>
      </c>
      <c r="V222" s="62" t="n">
        <f aca="false">MAX(0,Engagement_Register!$AM$18-V212)*Engagement_Register!$AE$18*Assumptions!V$194*(1-Engagement_Register!$AS$18)</f>
        <v>0</v>
      </c>
      <c r="W222" s="62" t="n">
        <f aca="false">MAX(0,Engagement_Register!$AM$18-W212)*Engagement_Register!$AE$18*Assumptions!W$194*(1-Engagement_Register!$AS$18)</f>
        <v>0</v>
      </c>
      <c r="X222" s="62" t="n">
        <f aca="false">MAX(0,Engagement_Register!$AM$18-X212)*Engagement_Register!$AE$18*Assumptions!X$194*(1-Engagement_Register!$AS$18)</f>
        <v>0</v>
      </c>
      <c r="Y222" s="62" t="n">
        <f aca="false">MAX(0,Engagement_Register!$AM$18-Y212)*Engagement_Register!$AE$18*Assumptions!Y$194*(1-Engagement_Register!$AS$18)</f>
        <v>0</v>
      </c>
      <c r="Z222" s="62" t="n">
        <f aca="false">MAX(0,Engagement_Register!$AM$18-Z212)*Engagement_Register!$AE$18*Assumptions!Z$194*(1-Engagement_Register!$AS$18)</f>
        <v>0</v>
      </c>
      <c r="AA222" s="62" t="n">
        <f aca="false">MAX(0,Engagement_Register!$AM$18-AA212)*Engagement_Register!$AE$18*Assumptions!AA$194*(1-Engagement_Register!$AS$18)</f>
        <v>0</v>
      </c>
      <c r="AB222" s="62" t="n">
        <f aca="false">MAX(0,Engagement_Register!$AM$18-AB212)*Engagement_Register!$AE$18*Assumptions!AB$194*(1-Engagement_Register!$AS$18)</f>
        <v>0</v>
      </c>
    </row>
    <row r="224" customFormat="false" ht="15" hidden="false" customHeight="false" outlineLevel="0" collapsed="false">
      <c r="A224" s="23" t="s">
        <v>878</v>
      </c>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row>
    <row r="225" customFormat="false" ht="15" hidden="false" customHeight="false" outlineLevel="0" collapsed="false">
      <c r="A225" s="29" t="s">
        <v>736</v>
      </c>
      <c r="B225" s="60" t="s">
        <v>832</v>
      </c>
      <c r="C225" s="66" t="n">
        <f aca="false">P225</f>
        <v>933.465</v>
      </c>
      <c r="D225" s="66" t="n">
        <f aca="false">AB225</f>
        <v>933.465</v>
      </c>
      <c r="E225" s="67" t="n">
        <f aca="false">Engagement_Register!$T$19+E21</f>
        <v>0</v>
      </c>
      <c r="F225" s="72" t="n">
        <f aca="false">E225+F21</f>
        <v>0</v>
      </c>
      <c r="G225" s="72" t="n">
        <f aca="false">F225+G21</f>
        <v>0</v>
      </c>
      <c r="H225" s="72" t="n">
        <f aca="false">G225+H21</f>
        <v>0</v>
      </c>
      <c r="I225" s="72" t="n">
        <f aca="false">H225+I21</f>
        <v>0</v>
      </c>
      <c r="J225" s="72" t="n">
        <f aca="false">I225+J21</f>
        <v>145.2</v>
      </c>
      <c r="K225" s="72" t="n">
        <f aca="false">J225+K21</f>
        <v>321.6</v>
      </c>
      <c r="L225" s="72" t="n">
        <f aca="false">K225+L21</f>
        <v>440.7</v>
      </c>
      <c r="M225" s="72" t="n">
        <f aca="false">L225+M21</f>
        <v>609.673276481149</v>
      </c>
      <c r="N225" s="72" t="n">
        <f aca="false">M225+N21</f>
        <v>772.45381508079</v>
      </c>
      <c r="O225" s="72" t="n">
        <f aca="false">N225+O21</f>
        <v>933.465</v>
      </c>
      <c r="P225" s="72" t="n">
        <f aca="false">O225+P21</f>
        <v>933.465</v>
      </c>
      <c r="Q225" s="72" t="n">
        <f aca="false">P225+Q21</f>
        <v>933.465</v>
      </c>
      <c r="R225" s="72" t="n">
        <f aca="false">Q225+R21</f>
        <v>933.465</v>
      </c>
      <c r="S225" s="72" t="n">
        <f aca="false">R225+S21</f>
        <v>933.465</v>
      </c>
      <c r="T225" s="72" t="n">
        <f aca="false">S225+T21</f>
        <v>933.465</v>
      </c>
      <c r="U225" s="72" t="n">
        <f aca="false">T225+U21</f>
        <v>933.465</v>
      </c>
      <c r="V225" s="72" t="n">
        <f aca="false">U225+V21</f>
        <v>933.465</v>
      </c>
      <c r="W225" s="72" t="n">
        <f aca="false">V225+W21</f>
        <v>933.465</v>
      </c>
      <c r="X225" s="72" t="n">
        <f aca="false">W225+X21</f>
        <v>933.465</v>
      </c>
      <c r="Y225" s="72" t="n">
        <f aca="false">X225+Y21</f>
        <v>933.465</v>
      </c>
      <c r="Z225" s="72" t="n">
        <f aca="false">Y225+Z21</f>
        <v>933.465</v>
      </c>
      <c r="AA225" s="72" t="n">
        <f aca="false">Z225+AA21</f>
        <v>933.465</v>
      </c>
      <c r="AB225" s="72" t="n">
        <f aca="false">AA225+AB21</f>
        <v>933.465</v>
      </c>
    </row>
    <row r="226" customFormat="false" ht="15" hidden="false" customHeight="false" outlineLevel="0" collapsed="false">
      <c r="A226" s="29" t="s">
        <v>852</v>
      </c>
      <c r="B226" s="60" t="s">
        <v>853</v>
      </c>
      <c r="C226" s="66" t="n">
        <f aca="false">P226</f>
        <v>933.465</v>
      </c>
      <c r="D226" s="66" t="n">
        <f aca="false">AB226</f>
        <v>933.465</v>
      </c>
      <c r="E226" s="67" t="n">
        <f aca="false">IF(E$5="A",IF(E225+N(Inputs_Actuals!E77)&lt;=0,Engagement_Register!$AM$19,E225+N(Inputs_Actuals!E77)),Engagement_Register!$AM$19)</f>
        <v>933.465</v>
      </c>
      <c r="F226" s="67" t="n">
        <f aca="false">IF(F$5="A",IF(F225+N(Inputs_Actuals!F77)&lt;=0,Engagement_Register!$AM$19,F225+N(Inputs_Actuals!F77)),Engagement_Register!$AM$19)</f>
        <v>933.465</v>
      </c>
      <c r="G226" s="67" t="n">
        <f aca="false">IF(G$5="A",IF(G225+N(Inputs_Actuals!G77)&lt;=0,Engagement_Register!$AM$19,G225+N(Inputs_Actuals!G77)),Engagement_Register!$AM$19)</f>
        <v>933.465</v>
      </c>
      <c r="H226" s="67" t="n">
        <f aca="false">IF(H$5="A",IF(H225+N(Inputs_Actuals!H77)&lt;=0,Engagement_Register!$AM$19,H225+N(Inputs_Actuals!H77)),Engagement_Register!$AM$19)</f>
        <v>933.465</v>
      </c>
      <c r="I226" s="67" t="n">
        <f aca="false">IF(I$5="A",IF(I225+N(Inputs_Actuals!I77)&lt;=0,Engagement_Register!$AM$19,I225+N(Inputs_Actuals!I77)),Engagement_Register!$AM$19)</f>
        <v>933.465</v>
      </c>
      <c r="J226" s="67" t="n">
        <f aca="false">IF(J$5="A",IF(J225+N(Inputs_Actuals!J77)&lt;=0,Engagement_Register!$AM$19,J225+N(Inputs_Actuals!J77)),Engagement_Register!$AM$19)</f>
        <v>910</v>
      </c>
      <c r="K226" s="67" t="n">
        <f aca="false">IF(K$5="A",IF(K225+N(Inputs_Actuals!K77)&lt;=0,Engagement_Register!$AM$19,K225+N(Inputs_Actuals!K77)),Engagement_Register!$AM$19)</f>
        <v>910</v>
      </c>
      <c r="L226" s="67" t="n">
        <f aca="false">IF(L$5="A",IF(L225+N(Inputs_Actuals!L77)&lt;=0,Engagement_Register!$AM$19,L225+N(Inputs_Actuals!L77)),Engagement_Register!$AM$19)</f>
        <v>910</v>
      </c>
      <c r="M226" s="67" t="n">
        <f aca="false">IF(M$5="A",IF(M225+N(Inputs_Actuals!M77)&lt;=0,Engagement_Register!$AM$19,M225+N(Inputs_Actuals!M77)),Engagement_Register!$AM$19)</f>
        <v>933.465</v>
      </c>
      <c r="N226" s="67" t="n">
        <f aca="false">IF(N$5="A",IF(N225+N(Inputs_Actuals!N77)&lt;=0,Engagement_Register!$AM$19,N225+N(Inputs_Actuals!N77)),Engagement_Register!$AM$19)</f>
        <v>933.465</v>
      </c>
      <c r="O226" s="67" t="n">
        <f aca="false">IF(O$5="A",IF(O225+N(Inputs_Actuals!O77)&lt;=0,Engagement_Register!$AM$19,O225+N(Inputs_Actuals!O77)),Engagement_Register!$AM$19)</f>
        <v>933.465</v>
      </c>
      <c r="P226" s="67" t="n">
        <f aca="false">IF(P$5="A",IF(P225+N(Inputs_Actuals!P77)&lt;=0,Engagement_Register!$AM$19,P225+N(Inputs_Actuals!P77)),Engagement_Register!$AM$19)</f>
        <v>933.465</v>
      </c>
      <c r="Q226" s="67" t="n">
        <f aca="false">IF(Q$5="A",IF(Q225+N(Inputs_Actuals!Q77)&lt;=0,Engagement_Register!$AM$19,Q225+N(Inputs_Actuals!Q77)),Engagement_Register!$AM$19)</f>
        <v>933.465</v>
      </c>
      <c r="R226" s="67" t="n">
        <f aca="false">IF(R$5="A",IF(R225+N(Inputs_Actuals!R77)&lt;=0,Engagement_Register!$AM$19,R225+N(Inputs_Actuals!R77)),Engagement_Register!$AM$19)</f>
        <v>933.465</v>
      </c>
      <c r="S226" s="67" t="n">
        <f aca="false">IF(S$5="A",IF(S225+N(Inputs_Actuals!S77)&lt;=0,Engagement_Register!$AM$19,S225+N(Inputs_Actuals!S77)),Engagement_Register!$AM$19)</f>
        <v>933.465</v>
      </c>
      <c r="T226" s="67" t="n">
        <f aca="false">IF(T$5="A",IF(T225+N(Inputs_Actuals!T77)&lt;=0,Engagement_Register!$AM$19,T225+N(Inputs_Actuals!T77)),Engagement_Register!$AM$19)</f>
        <v>933.465</v>
      </c>
      <c r="U226" s="67" t="n">
        <f aca="false">IF(U$5="A",IF(U225+N(Inputs_Actuals!U77)&lt;=0,Engagement_Register!$AM$19,U225+N(Inputs_Actuals!U77)),Engagement_Register!$AM$19)</f>
        <v>933.465</v>
      </c>
      <c r="V226" s="67" t="n">
        <f aca="false">IF(V$5="A",IF(V225+N(Inputs_Actuals!V77)&lt;=0,Engagement_Register!$AM$19,V225+N(Inputs_Actuals!V77)),Engagement_Register!$AM$19)</f>
        <v>933.465</v>
      </c>
      <c r="W226" s="67" t="n">
        <f aca="false">IF(W$5="A",IF(W225+N(Inputs_Actuals!W77)&lt;=0,Engagement_Register!$AM$19,W225+N(Inputs_Actuals!W77)),Engagement_Register!$AM$19)</f>
        <v>933.465</v>
      </c>
      <c r="X226" s="67" t="n">
        <f aca="false">IF(X$5="A",IF(X225+N(Inputs_Actuals!X77)&lt;=0,Engagement_Register!$AM$19,X225+N(Inputs_Actuals!X77)),Engagement_Register!$AM$19)</f>
        <v>933.465</v>
      </c>
      <c r="Y226" s="67" t="n">
        <f aca="false">IF(Y$5="A",IF(Y225+N(Inputs_Actuals!Y77)&lt;=0,Engagement_Register!$AM$19,Y225+N(Inputs_Actuals!Y77)),Engagement_Register!$AM$19)</f>
        <v>933.465</v>
      </c>
      <c r="Z226" s="67" t="n">
        <f aca="false">IF(Z$5="A",IF(Z225+N(Inputs_Actuals!Z77)&lt;=0,Engagement_Register!$AM$19,Z225+N(Inputs_Actuals!Z77)),Engagement_Register!$AM$19)</f>
        <v>933.465</v>
      </c>
      <c r="AA226" s="67" t="n">
        <f aca="false">IF(AA$5="A",IF(AA225+N(Inputs_Actuals!AA77)&lt;=0,Engagement_Register!$AM$19,AA225+N(Inputs_Actuals!AA77)),Engagement_Register!$AM$19)</f>
        <v>933.465</v>
      </c>
      <c r="AB226" s="67" t="n">
        <f aca="false">IF(AB$5="A",IF(AB225+N(Inputs_Actuals!AB77)&lt;=0,Engagement_Register!$AM$19,AB225+N(Inputs_Actuals!AB77)),Engagement_Register!$AM$19)</f>
        <v>933.465</v>
      </c>
    </row>
    <row r="227" customFormat="false" ht="15" hidden="false" customHeight="false" outlineLevel="0" collapsed="false">
      <c r="A227" s="29" t="s">
        <v>854</v>
      </c>
      <c r="B227" s="60" t="s">
        <v>855</v>
      </c>
      <c r="C227" s="63" t="n">
        <f aca="false">P227</f>
        <v>1</v>
      </c>
      <c r="D227" s="63" t="n">
        <f aca="false">AB227</f>
        <v>1</v>
      </c>
      <c r="E227" s="64" t="n">
        <f aca="false">IF(E226&lt;=0,0,MIN(1,E225/E226))</f>
        <v>0</v>
      </c>
      <c r="F227" s="64" t="n">
        <f aca="false">IF(F226&lt;=0,0,MIN(1,F225/F226))</f>
        <v>0</v>
      </c>
      <c r="G227" s="64" t="n">
        <f aca="false">IF(G226&lt;=0,0,MIN(1,G225/G226))</f>
        <v>0</v>
      </c>
      <c r="H227" s="64" t="n">
        <f aca="false">IF(H226&lt;=0,0,MIN(1,H225/H226))</f>
        <v>0</v>
      </c>
      <c r="I227" s="64" t="n">
        <f aca="false">IF(I226&lt;=0,0,MIN(1,I225/I226))</f>
        <v>0</v>
      </c>
      <c r="J227" s="64" t="n">
        <f aca="false">IF(J226&lt;=0,0,MIN(1,J225/J226))</f>
        <v>0.15956043956044</v>
      </c>
      <c r="K227" s="64" t="n">
        <f aca="false">IF(K226&lt;=0,0,MIN(1,K225/K226))</f>
        <v>0.353406593406593</v>
      </c>
      <c r="L227" s="64" t="n">
        <f aca="false">IF(L226&lt;=0,0,MIN(1,L225/L226))</f>
        <v>0.484285714285714</v>
      </c>
      <c r="M227" s="64" t="n">
        <f aca="false">IF(M226&lt;=0,0,MIN(1,M225/M226))</f>
        <v>0.653129229784886</v>
      </c>
      <c r="N227" s="64" t="n">
        <f aca="false">IF(N226&lt;=0,0,MIN(1,N225/N226))</f>
        <v>0.827512349237293</v>
      </c>
      <c r="O227" s="64" t="n">
        <f aca="false">IF(O226&lt;=0,0,MIN(1,O225/O226))</f>
        <v>1</v>
      </c>
      <c r="P227" s="64" t="n">
        <f aca="false">IF(P226&lt;=0,0,MIN(1,P225/P226))</f>
        <v>1</v>
      </c>
      <c r="Q227" s="64" t="n">
        <f aca="false">IF(Q226&lt;=0,0,MIN(1,Q225/Q226))</f>
        <v>1</v>
      </c>
      <c r="R227" s="64" t="n">
        <f aca="false">IF(R226&lt;=0,0,MIN(1,R225/R226))</f>
        <v>1</v>
      </c>
      <c r="S227" s="64" t="n">
        <f aca="false">IF(S226&lt;=0,0,MIN(1,S225/S226))</f>
        <v>1</v>
      </c>
      <c r="T227" s="64" t="n">
        <f aca="false">IF(T226&lt;=0,0,MIN(1,T225/T226))</f>
        <v>1</v>
      </c>
      <c r="U227" s="64" t="n">
        <f aca="false">IF(U226&lt;=0,0,MIN(1,U225/U226))</f>
        <v>1</v>
      </c>
      <c r="V227" s="64" t="n">
        <f aca="false">IF(V226&lt;=0,0,MIN(1,V225/V226))</f>
        <v>1</v>
      </c>
      <c r="W227" s="64" t="n">
        <f aca="false">IF(W226&lt;=0,0,MIN(1,W225/W226))</f>
        <v>1</v>
      </c>
      <c r="X227" s="64" t="n">
        <f aca="false">IF(X226&lt;=0,0,MIN(1,X225/X226))</f>
        <v>1</v>
      </c>
      <c r="Y227" s="64" t="n">
        <f aca="false">IF(Y226&lt;=0,0,MIN(1,Y225/Y226))</f>
        <v>1</v>
      </c>
      <c r="Z227" s="64" t="n">
        <f aca="false">IF(Z226&lt;=0,0,MIN(1,Z225/Z226))</f>
        <v>1</v>
      </c>
      <c r="AA227" s="64" t="n">
        <f aca="false">IF(AA226&lt;=0,0,MIN(1,AA225/AA226))</f>
        <v>1</v>
      </c>
      <c r="AB227" s="64" t="n">
        <f aca="false">IF(AB226&lt;=0,0,MIN(1,AB225/AB226))</f>
        <v>1</v>
      </c>
    </row>
    <row r="228" customFormat="false" ht="15" hidden="false" customHeight="false" outlineLevel="0" collapsed="false">
      <c r="A228" s="29" t="s">
        <v>833</v>
      </c>
      <c r="B228" s="60" t="s">
        <v>834</v>
      </c>
      <c r="C228" s="61" t="n">
        <f aca="false">SUM(E228:P228)</f>
        <v>192853.869</v>
      </c>
      <c r="D228" s="61" t="n">
        <f aca="false">SUM(Q228:AB228)</f>
        <v>0</v>
      </c>
      <c r="E228" s="62" t="n">
        <f aca="false">E21*Engagement_Register!$AD$19*Assumptions!E$194</f>
        <v>0</v>
      </c>
      <c r="F228" s="62" t="n">
        <f aca="false">F21*Engagement_Register!$AD$19*Assumptions!F$194</f>
        <v>0</v>
      </c>
      <c r="G228" s="62" t="n">
        <f aca="false">G21*Engagement_Register!$AD$19*Assumptions!G$194</f>
        <v>0</v>
      </c>
      <c r="H228" s="62" t="n">
        <f aca="false">H21*Engagement_Register!$AD$19*Assumptions!H$194</f>
        <v>0</v>
      </c>
      <c r="I228" s="62" t="n">
        <f aca="false">I21*Engagement_Register!$AD$19*Assumptions!I$194</f>
        <v>0</v>
      </c>
      <c r="J228" s="62" t="n">
        <f aca="false">J21*Engagement_Register!$AD$19*Assumptions!J$194</f>
        <v>29998.32</v>
      </c>
      <c r="K228" s="62" t="n">
        <f aca="false">K21*Engagement_Register!$AD$19*Assumptions!K$194</f>
        <v>36444.24</v>
      </c>
      <c r="L228" s="62" t="n">
        <f aca="false">L21*Engagement_Register!$AD$19*Assumptions!L$194</f>
        <v>24606.06</v>
      </c>
      <c r="M228" s="62" t="n">
        <f aca="false">M21*Engagement_Register!$AD$19*Assumptions!M$194</f>
        <v>34909.8789210054</v>
      </c>
      <c r="N228" s="62" t="n">
        <f aca="false">N21*Engagement_Register!$AD$19*Assumptions!N$194</f>
        <v>33630.4592746858</v>
      </c>
      <c r="O228" s="62" t="n">
        <f aca="false">O21*Engagement_Register!$AD$19*Assumptions!O$194</f>
        <v>33264.9108043088</v>
      </c>
      <c r="P228" s="62" t="n">
        <f aca="false">P21*Engagement_Register!$AD$19*Assumptions!P$194</f>
        <v>0</v>
      </c>
      <c r="Q228" s="62" t="n">
        <f aca="false">Q21*Engagement_Register!$AD$19*Assumptions!Q$194</f>
        <v>0</v>
      </c>
      <c r="R228" s="62" t="n">
        <f aca="false">R21*Engagement_Register!$AD$19*Assumptions!R$194</f>
        <v>0</v>
      </c>
      <c r="S228" s="62" t="n">
        <f aca="false">S21*Engagement_Register!$AD$19*Assumptions!S$194</f>
        <v>0</v>
      </c>
      <c r="T228" s="62" t="n">
        <f aca="false">T21*Engagement_Register!$AD$19*Assumptions!T$194</f>
        <v>0</v>
      </c>
      <c r="U228" s="62" t="n">
        <f aca="false">U21*Engagement_Register!$AD$19*Assumptions!U$194</f>
        <v>0</v>
      </c>
      <c r="V228" s="62" t="n">
        <f aca="false">V21*Engagement_Register!$AD$19*Assumptions!V$194</f>
        <v>0</v>
      </c>
      <c r="W228" s="62" t="n">
        <f aca="false">W21*Engagement_Register!$AD$19*Assumptions!W$194</f>
        <v>0</v>
      </c>
      <c r="X228" s="62" t="n">
        <f aca="false">X21*Engagement_Register!$AD$19*Assumptions!X$194</f>
        <v>0</v>
      </c>
      <c r="Y228" s="62" t="n">
        <f aca="false">Y21*Engagement_Register!$AD$19*Assumptions!Y$194</f>
        <v>0</v>
      </c>
      <c r="Z228" s="62" t="n">
        <f aca="false">Z21*Engagement_Register!$AD$19*Assumptions!Z$194</f>
        <v>0</v>
      </c>
      <c r="AA228" s="62" t="n">
        <f aca="false">AA21*Engagement_Register!$AD$19*Assumptions!AA$194</f>
        <v>0</v>
      </c>
      <c r="AB228" s="62" t="n">
        <f aca="false">AB21*Engagement_Register!$AD$19*Assumptions!AB$194</f>
        <v>0</v>
      </c>
    </row>
    <row r="229" customFormat="false" ht="15" hidden="false" customHeight="false" outlineLevel="0" collapsed="false">
      <c r="A229" s="29" t="s">
        <v>835</v>
      </c>
      <c r="B229" s="60" t="s">
        <v>865</v>
      </c>
      <c r="C229" s="61" t="n">
        <f aca="false">SUM(E229:P229)</f>
        <v>184641.428571429</v>
      </c>
      <c r="D229" s="61" t="n">
        <f aca="false">SUM(Q229:AB229)</f>
        <v>0</v>
      </c>
      <c r="E229" s="62" t="n">
        <f aca="false">E21*Engagement_Register!$AE$19</f>
        <v>0</v>
      </c>
      <c r="F229" s="62" t="n">
        <f aca="false">F21*Engagement_Register!$AE$19</f>
        <v>0</v>
      </c>
      <c r="G229" s="62" t="n">
        <f aca="false">G21*Engagement_Register!$AE$19</f>
        <v>0</v>
      </c>
      <c r="H229" s="62" t="n">
        <f aca="false">H21*Engagement_Register!$AE$19</f>
        <v>0</v>
      </c>
      <c r="I229" s="62" t="n">
        <f aca="false">I21*Engagement_Register!$AE$19</f>
        <v>0</v>
      </c>
      <c r="J229" s="62" t="n">
        <f aca="false">J21*Engagement_Register!$AE$19</f>
        <v>28720.8791208791</v>
      </c>
      <c r="K229" s="62" t="n">
        <f aca="false">K21*Engagement_Register!$AE$19</f>
        <v>34892.3076923077</v>
      </c>
      <c r="L229" s="62" t="n">
        <f aca="false">L21*Engagement_Register!$AE$19</f>
        <v>23558.2417582418</v>
      </c>
      <c r="M229" s="62" t="n">
        <f aca="false">M21*Engagement_Register!$AE$19</f>
        <v>33423.2854578097</v>
      </c>
      <c r="N229" s="62" t="n">
        <f aca="false">N21*Engagement_Register!$AE$19</f>
        <v>32198.3482944345</v>
      </c>
      <c r="O229" s="62" t="n">
        <f aca="false">O21*Engagement_Register!$AE$19</f>
        <v>31848.3662477558</v>
      </c>
      <c r="P229" s="62" t="n">
        <f aca="false">P21*Engagement_Register!$AE$19</f>
        <v>0</v>
      </c>
      <c r="Q229" s="62" t="n">
        <f aca="false">Q21*Engagement_Register!$AE$19</f>
        <v>0</v>
      </c>
      <c r="R229" s="62" t="n">
        <f aca="false">R21*Engagement_Register!$AE$19</f>
        <v>0</v>
      </c>
      <c r="S229" s="62" t="n">
        <f aca="false">S21*Engagement_Register!$AE$19</f>
        <v>0</v>
      </c>
      <c r="T229" s="62" t="n">
        <f aca="false">T21*Engagement_Register!$AE$19</f>
        <v>0</v>
      </c>
      <c r="U229" s="62" t="n">
        <f aca="false">U21*Engagement_Register!$AE$19</f>
        <v>0</v>
      </c>
      <c r="V229" s="62" t="n">
        <f aca="false">V21*Engagement_Register!$AE$19</f>
        <v>0</v>
      </c>
      <c r="W229" s="62" t="n">
        <f aca="false">W21*Engagement_Register!$AE$19</f>
        <v>0</v>
      </c>
      <c r="X229" s="62" t="n">
        <f aca="false">X21*Engagement_Register!$AE$19</f>
        <v>0</v>
      </c>
      <c r="Y229" s="62" t="n">
        <f aca="false">Y21*Engagement_Register!$AE$19</f>
        <v>0</v>
      </c>
      <c r="Z229" s="62" t="n">
        <f aca="false">Z21*Engagement_Register!$AE$19</f>
        <v>0</v>
      </c>
      <c r="AA229" s="62" t="n">
        <f aca="false">AA21*Engagement_Register!$AE$19</f>
        <v>0</v>
      </c>
      <c r="AB229" s="62" t="n">
        <f aca="false">AB21*Engagement_Register!$AE$19</f>
        <v>0</v>
      </c>
    </row>
    <row r="230" customFormat="false" ht="15" hidden="false" customHeight="false" outlineLevel="0" collapsed="false">
      <c r="A230" s="29" t="s">
        <v>742</v>
      </c>
      <c r="B230" s="60" t="s">
        <v>866</v>
      </c>
      <c r="C230" s="61" t="n">
        <f aca="false">P230</f>
        <v>180000</v>
      </c>
      <c r="D230" s="61" t="n">
        <f aca="false">AB230</f>
        <v>180000</v>
      </c>
      <c r="E230" s="62" t="n">
        <f aca="false">IF(E$5="A",Engagement_Register!$U$19+Inputs_Actuals!E78,Engagement_Register!$AP$19*E227)</f>
        <v>0</v>
      </c>
      <c r="F230" s="62" t="n">
        <f aca="false">IF(F$5="A",E230+Inputs_Actuals!F78,Engagement_Register!$AP$19*F227)</f>
        <v>0</v>
      </c>
      <c r="G230" s="62" t="n">
        <f aca="false">IF(G$5="A",F230+Inputs_Actuals!G78,Engagement_Register!$AP$19*G227)</f>
        <v>0</v>
      </c>
      <c r="H230" s="62" t="n">
        <f aca="false">IF(H$5="A",G230+Inputs_Actuals!H78,Engagement_Register!$AP$19*H227)</f>
        <v>0</v>
      </c>
      <c r="I230" s="62" t="n">
        <f aca="false">IF(I$5="A",H230+Inputs_Actuals!I78,Engagement_Register!$AP$19*I227)</f>
        <v>0</v>
      </c>
      <c r="J230" s="62" t="n">
        <f aca="false">IF(J$5="A",I230+Inputs_Actuals!J78,Engagement_Register!$AP$19*J227)</f>
        <v>28720.88</v>
      </c>
      <c r="K230" s="62" t="n">
        <f aca="false">IF(K$5="A",J230+Inputs_Actuals!K78,Engagement_Register!$AP$19*K227)</f>
        <v>63613.19</v>
      </c>
      <c r="L230" s="62" t="n">
        <f aca="false">IF(L$5="A",K230+Inputs_Actuals!L78,Engagement_Register!$AP$19*L227)</f>
        <v>87171.43</v>
      </c>
      <c r="M230" s="62" t="n">
        <f aca="false">IF(M$5="A",L230+Inputs_Actuals!M78,Engagement_Register!$AP$19*M227)</f>
        <v>117563.26136128</v>
      </c>
      <c r="N230" s="62" t="n">
        <f aca="false">IF(N$5="A",M230+Inputs_Actuals!N78,Engagement_Register!$AP$19*N227)</f>
        <v>148952.222862713</v>
      </c>
      <c r="O230" s="62" t="n">
        <f aca="false">IF(O$5="A",N230+Inputs_Actuals!O78,Engagement_Register!$AP$19*O227)</f>
        <v>180000</v>
      </c>
      <c r="P230" s="62" t="n">
        <f aca="false">IF(P$5="A",O230+Inputs_Actuals!P78,Engagement_Register!$AP$19*P227)</f>
        <v>180000</v>
      </c>
      <c r="Q230" s="62" t="n">
        <f aca="false">IF(Q$5="A",P230+Inputs_Actuals!Q78,Engagement_Register!$AP$19*Q227)</f>
        <v>180000</v>
      </c>
      <c r="R230" s="62" t="n">
        <f aca="false">IF(R$5="A",Q230+Inputs_Actuals!R78,Engagement_Register!$AP$19*R227)</f>
        <v>180000</v>
      </c>
      <c r="S230" s="62" t="n">
        <f aca="false">IF(S$5="A",R230+Inputs_Actuals!S78,Engagement_Register!$AP$19*S227)</f>
        <v>180000</v>
      </c>
      <c r="T230" s="62" t="n">
        <f aca="false">IF(T$5="A",S230+Inputs_Actuals!T78,Engagement_Register!$AP$19*T227)</f>
        <v>180000</v>
      </c>
      <c r="U230" s="62" t="n">
        <f aca="false">IF(U$5="A",T230+Inputs_Actuals!U78,Engagement_Register!$AP$19*U227)</f>
        <v>180000</v>
      </c>
      <c r="V230" s="62" t="n">
        <f aca="false">IF(V$5="A",U230+Inputs_Actuals!V78,Engagement_Register!$AP$19*V227)</f>
        <v>180000</v>
      </c>
      <c r="W230" s="62" t="n">
        <f aca="false">IF(W$5="A",V230+Inputs_Actuals!W78,Engagement_Register!$AP$19*W227)</f>
        <v>180000</v>
      </c>
      <c r="X230" s="62" t="n">
        <f aca="false">IF(X$5="A",W230+Inputs_Actuals!X78,Engagement_Register!$AP$19*X227)</f>
        <v>180000</v>
      </c>
      <c r="Y230" s="62" t="n">
        <f aca="false">IF(Y$5="A",X230+Inputs_Actuals!Y78,Engagement_Register!$AP$19*Y227)</f>
        <v>180000</v>
      </c>
      <c r="Z230" s="62" t="n">
        <f aca="false">IF(Z$5="A",Y230+Inputs_Actuals!Z78,Engagement_Register!$AP$19*Z227)</f>
        <v>180000</v>
      </c>
      <c r="AA230" s="62" t="n">
        <f aca="false">IF(AA$5="A",Z230+Inputs_Actuals!AA78,Engagement_Register!$AP$19*AA227)</f>
        <v>180000</v>
      </c>
      <c r="AB230" s="62" t="n">
        <f aca="false">IF(AB$5="A",AA230+Inputs_Actuals!AB78,Engagement_Register!$AP$19*AB227)</f>
        <v>180000</v>
      </c>
    </row>
    <row r="231" customFormat="false" ht="15" hidden="false" customHeight="false" outlineLevel="0" collapsed="false">
      <c r="A231" s="68" t="s">
        <v>349</v>
      </c>
      <c r="B231" s="69" t="s">
        <v>859</v>
      </c>
      <c r="C231" s="70" t="n">
        <f aca="false">SUM(E231:P231)</f>
        <v>180000</v>
      </c>
      <c r="D231" s="70" t="n">
        <f aca="false">SUM(Q231:AB231)</f>
        <v>0</v>
      </c>
      <c r="E231" s="74" t="n">
        <f aca="false">E230-Engagement_Register!$U$19</f>
        <v>0</v>
      </c>
      <c r="F231" s="70" t="n">
        <f aca="false">F230-E230</f>
        <v>0</v>
      </c>
      <c r="G231" s="70" t="n">
        <f aca="false">G230-F230</f>
        <v>0</v>
      </c>
      <c r="H231" s="70" t="n">
        <f aca="false">H230-G230</f>
        <v>0</v>
      </c>
      <c r="I231" s="70" t="n">
        <f aca="false">I230-H230</f>
        <v>0</v>
      </c>
      <c r="J231" s="70" t="n">
        <f aca="false">J230-I230</f>
        <v>28720.88</v>
      </c>
      <c r="K231" s="70" t="n">
        <f aca="false">K230-J230</f>
        <v>34892.31</v>
      </c>
      <c r="L231" s="70" t="n">
        <f aca="false">L230-K230</f>
        <v>23558.24</v>
      </c>
      <c r="M231" s="70" t="n">
        <f aca="false">M230-L230</f>
        <v>30391.8313612795</v>
      </c>
      <c r="N231" s="70" t="n">
        <f aca="false">N230-M230</f>
        <v>31388.9615014333</v>
      </c>
      <c r="O231" s="70" t="n">
        <f aca="false">O230-N230</f>
        <v>31047.7771372872</v>
      </c>
      <c r="P231" s="70" t="n">
        <f aca="false">P230-O230</f>
        <v>0</v>
      </c>
      <c r="Q231" s="70" t="n">
        <f aca="false">Q230-P230</f>
        <v>0</v>
      </c>
      <c r="R231" s="70" t="n">
        <f aca="false">R230-Q230</f>
        <v>0</v>
      </c>
      <c r="S231" s="70" t="n">
        <f aca="false">S230-R230</f>
        <v>0</v>
      </c>
      <c r="T231" s="70" t="n">
        <f aca="false">T230-S230</f>
        <v>0</v>
      </c>
      <c r="U231" s="70" t="n">
        <f aca="false">U230-T230</f>
        <v>0</v>
      </c>
      <c r="V231" s="70" t="n">
        <f aca="false">V230-U230</f>
        <v>0</v>
      </c>
      <c r="W231" s="70" t="n">
        <f aca="false">W230-V230</f>
        <v>0</v>
      </c>
      <c r="X231" s="70" t="n">
        <f aca="false">X230-W230</f>
        <v>0</v>
      </c>
      <c r="Y231" s="70" t="n">
        <f aca="false">Y230-X230</f>
        <v>0</v>
      </c>
      <c r="Z231" s="70" t="n">
        <f aca="false">Z230-Y230</f>
        <v>0</v>
      </c>
      <c r="AA231" s="70" t="n">
        <f aca="false">AA230-Z230</f>
        <v>0</v>
      </c>
      <c r="AB231" s="70" t="n">
        <f aca="false">AB230-AA230</f>
        <v>0</v>
      </c>
    </row>
    <row r="232" customFormat="false" ht="15" hidden="false" customHeight="false" outlineLevel="0" collapsed="false">
      <c r="A232" s="29" t="s">
        <v>867</v>
      </c>
      <c r="B232" s="60" t="s">
        <v>868</v>
      </c>
      <c r="C232" s="61" t="n">
        <f aca="false">P232</f>
        <v>180000</v>
      </c>
      <c r="D232" s="61" t="n">
        <f aca="false">AB232</f>
        <v>180000</v>
      </c>
      <c r="E232" s="62" t="n">
        <f aca="false">Engagement_Register!$AP$19*(Assumptions!$C$146*(Assumptions!E$187&gt;=Engagement_Register!$AG$19)+Assumptions!$C$147*(Assumptions!E$187&gt;=Engagement_Register!$AI$19)+Assumptions!$C$148*(Assumptions!E$187&gt;=Engagement_Register!$AH$19))</f>
        <v>0</v>
      </c>
      <c r="F232" s="62" t="n">
        <f aca="false">Engagement_Register!$AP$19*(Assumptions!$C$146*(Assumptions!F$187&gt;=Engagement_Register!$AG$19)+Assumptions!$C$147*(Assumptions!F$187&gt;=Engagement_Register!$AI$19)+Assumptions!$C$148*(Assumptions!F$187&gt;=Engagement_Register!$AH$19))</f>
        <v>0</v>
      </c>
      <c r="G232" s="62" t="n">
        <f aca="false">Engagement_Register!$AP$19*(Assumptions!$C$146*(Assumptions!G$187&gt;=Engagement_Register!$AG$19)+Assumptions!$C$147*(Assumptions!G$187&gt;=Engagement_Register!$AI$19)+Assumptions!$C$148*(Assumptions!G$187&gt;=Engagement_Register!$AH$19))</f>
        <v>0</v>
      </c>
      <c r="H232" s="62" t="n">
        <f aca="false">Engagement_Register!$AP$19*(Assumptions!$C$146*(Assumptions!H$187&gt;=Engagement_Register!$AG$19)+Assumptions!$C$147*(Assumptions!H$187&gt;=Engagement_Register!$AI$19)+Assumptions!$C$148*(Assumptions!H$187&gt;=Engagement_Register!$AH$19))</f>
        <v>0</v>
      </c>
      <c r="I232" s="62" t="n">
        <f aca="false">Engagement_Register!$AP$19*(Assumptions!$C$146*(Assumptions!I$187&gt;=Engagement_Register!$AG$19)+Assumptions!$C$147*(Assumptions!I$187&gt;=Engagement_Register!$AI$19)+Assumptions!$C$148*(Assumptions!I$187&gt;=Engagement_Register!$AH$19))</f>
        <v>0</v>
      </c>
      <c r="J232" s="62" t="n">
        <f aca="false">Engagement_Register!$AP$19*(Assumptions!$C$146*(Assumptions!J$187&gt;=Engagement_Register!$AG$19)+Assumptions!$C$147*(Assumptions!J$187&gt;=Engagement_Register!$AI$19)+Assumptions!$C$148*(Assumptions!J$187&gt;=Engagement_Register!$AH$19))</f>
        <v>54000</v>
      </c>
      <c r="K232" s="62" t="n">
        <f aca="false">Engagement_Register!$AP$19*(Assumptions!$C$146*(Assumptions!K$187&gt;=Engagement_Register!$AG$19)+Assumptions!$C$147*(Assumptions!K$187&gt;=Engagement_Register!$AI$19)+Assumptions!$C$148*(Assumptions!K$187&gt;=Engagement_Register!$AH$19))</f>
        <v>54000</v>
      </c>
      <c r="L232" s="62" t="n">
        <f aca="false">Engagement_Register!$AP$19*(Assumptions!$C$146*(Assumptions!L$187&gt;=Engagement_Register!$AG$19)+Assumptions!$C$147*(Assumptions!L$187&gt;=Engagement_Register!$AI$19)+Assumptions!$C$148*(Assumptions!L$187&gt;=Engagement_Register!$AH$19))</f>
        <v>54000</v>
      </c>
      <c r="M232" s="62" t="n">
        <f aca="false">Engagement_Register!$AP$19*(Assumptions!$C$146*(Assumptions!M$187&gt;=Engagement_Register!$AG$19)+Assumptions!$C$147*(Assumptions!M$187&gt;=Engagement_Register!$AI$19)+Assumptions!$C$148*(Assumptions!M$187&gt;=Engagement_Register!$AH$19))</f>
        <v>126000</v>
      </c>
      <c r="N232" s="62" t="n">
        <f aca="false">Engagement_Register!$AP$19*(Assumptions!$C$146*(Assumptions!N$187&gt;=Engagement_Register!$AG$19)+Assumptions!$C$147*(Assumptions!N$187&gt;=Engagement_Register!$AI$19)+Assumptions!$C$148*(Assumptions!N$187&gt;=Engagement_Register!$AH$19))</f>
        <v>126000</v>
      </c>
      <c r="O232" s="62" t="n">
        <f aca="false">Engagement_Register!$AP$19*(Assumptions!$C$146*(Assumptions!O$187&gt;=Engagement_Register!$AG$19)+Assumptions!$C$147*(Assumptions!O$187&gt;=Engagement_Register!$AI$19)+Assumptions!$C$148*(Assumptions!O$187&gt;=Engagement_Register!$AH$19))</f>
        <v>180000</v>
      </c>
      <c r="P232" s="62" t="n">
        <f aca="false">Engagement_Register!$AP$19*(Assumptions!$C$146*(Assumptions!P$187&gt;=Engagement_Register!$AG$19)+Assumptions!$C$147*(Assumptions!P$187&gt;=Engagement_Register!$AI$19)+Assumptions!$C$148*(Assumptions!P$187&gt;=Engagement_Register!$AH$19))</f>
        <v>180000</v>
      </c>
      <c r="Q232" s="62" t="n">
        <f aca="false">Engagement_Register!$AP$19*(Assumptions!$C$146*(Assumptions!Q$187&gt;=Engagement_Register!$AG$19)+Assumptions!$C$147*(Assumptions!Q$187&gt;=Engagement_Register!$AI$19)+Assumptions!$C$148*(Assumptions!Q$187&gt;=Engagement_Register!$AH$19))</f>
        <v>180000</v>
      </c>
      <c r="R232" s="62" t="n">
        <f aca="false">Engagement_Register!$AP$19*(Assumptions!$C$146*(Assumptions!R$187&gt;=Engagement_Register!$AG$19)+Assumptions!$C$147*(Assumptions!R$187&gt;=Engagement_Register!$AI$19)+Assumptions!$C$148*(Assumptions!R$187&gt;=Engagement_Register!$AH$19))</f>
        <v>180000</v>
      </c>
      <c r="S232" s="62" t="n">
        <f aca="false">Engagement_Register!$AP$19*(Assumptions!$C$146*(Assumptions!S$187&gt;=Engagement_Register!$AG$19)+Assumptions!$C$147*(Assumptions!S$187&gt;=Engagement_Register!$AI$19)+Assumptions!$C$148*(Assumptions!S$187&gt;=Engagement_Register!$AH$19))</f>
        <v>180000</v>
      </c>
      <c r="T232" s="62" t="n">
        <f aca="false">Engagement_Register!$AP$19*(Assumptions!$C$146*(Assumptions!T$187&gt;=Engagement_Register!$AG$19)+Assumptions!$C$147*(Assumptions!T$187&gt;=Engagement_Register!$AI$19)+Assumptions!$C$148*(Assumptions!T$187&gt;=Engagement_Register!$AH$19))</f>
        <v>180000</v>
      </c>
      <c r="U232" s="62" t="n">
        <f aca="false">Engagement_Register!$AP$19*(Assumptions!$C$146*(Assumptions!U$187&gt;=Engagement_Register!$AG$19)+Assumptions!$C$147*(Assumptions!U$187&gt;=Engagement_Register!$AI$19)+Assumptions!$C$148*(Assumptions!U$187&gt;=Engagement_Register!$AH$19))</f>
        <v>180000</v>
      </c>
      <c r="V232" s="62" t="n">
        <f aca="false">Engagement_Register!$AP$19*(Assumptions!$C$146*(Assumptions!V$187&gt;=Engagement_Register!$AG$19)+Assumptions!$C$147*(Assumptions!V$187&gt;=Engagement_Register!$AI$19)+Assumptions!$C$148*(Assumptions!V$187&gt;=Engagement_Register!$AH$19))</f>
        <v>180000</v>
      </c>
      <c r="W232" s="62" t="n">
        <f aca="false">Engagement_Register!$AP$19*(Assumptions!$C$146*(Assumptions!W$187&gt;=Engagement_Register!$AG$19)+Assumptions!$C$147*(Assumptions!W$187&gt;=Engagement_Register!$AI$19)+Assumptions!$C$148*(Assumptions!W$187&gt;=Engagement_Register!$AH$19))</f>
        <v>180000</v>
      </c>
      <c r="X232" s="62" t="n">
        <f aca="false">Engagement_Register!$AP$19*(Assumptions!$C$146*(Assumptions!X$187&gt;=Engagement_Register!$AG$19)+Assumptions!$C$147*(Assumptions!X$187&gt;=Engagement_Register!$AI$19)+Assumptions!$C$148*(Assumptions!X$187&gt;=Engagement_Register!$AH$19))</f>
        <v>180000</v>
      </c>
      <c r="Y232" s="62" t="n">
        <f aca="false">Engagement_Register!$AP$19*(Assumptions!$C$146*(Assumptions!Y$187&gt;=Engagement_Register!$AG$19)+Assumptions!$C$147*(Assumptions!Y$187&gt;=Engagement_Register!$AI$19)+Assumptions!$C$148*(Assumptions!Y$187&gt;=Engagement_Register!$AH$19))</f>
        <v>180000</v>
      </c>
      <c r="Z232" s="62" t="n">
        <f aca="false">Engagement_Register!$AP$19*(Assumptions!$C$146*(Assumptions!Z$187&gt;=Engagement_Register!$AG$19)+Assumptions!$C$147*(Assumptions!Z$187&gt;=Engagement_Register!$AI$19)+Assumptions!$C$148*(Assumptions!Z$187&gt;=Engagement_Register!$AH$19))</f>
        <v>180000</v>
      </c>
      <c r="AA232" s="62" t="n">
        <f aca="false">Engagement_Register!$AP$19*(Assumptions!$C$146*(Assumptions!AA$187&gt;=Engagement_Register!$AG$19)+Assumptions!$C$147*(Assumptions!AA$187&gt;=Engagement_Register!$AI$19)+Assumptions!$C$148*(Assumptions!AA$187&gt;=Engagement_Register!$AH$19))</f>
        <v>180000</v>
      </c>
      <c r="AB232" s="62" t="n">
        <f aca="false">Engagement_Register!$AP$19*(Assumptions!$C$146*(Assumptions!AB$187&gt;=Engagement_Register!$AG$19)+Assumptions!$C$147*(Assumptions!AB$187&gt;=Engagement_Register!$AI$19)+Assumptions!$C$148*(Assumptions!AB$187&gt;=Engagement_Register!$AH$19))</f>
        <v>180000</v>
      </c>
    </row>
    <row r="233" customFormat="false" ht="15" hidden="false" customHeight="false" outlineLevel="0" collapsed="false">
      <c r="A233" s="29" t="s">
        <v>838</v>
      </c>
      <c r="B233" s="60" t="s">
        <v>869</v>
      </c>
      <c r="C233" s="61" t="n">
        <f aca="false">SUM(E233:P233)</f>
        <v>180000</v>
      </c>
      <c r="D233" s="61" t="n">
        <f aca="false">SUM(Q233:AB233)</f>
        <v>0</v>
      </c>
      <c r="E233" s="62" t="n">
        <f aca="false">IF(E$5="A",Inputs_Actuals!E79,MAX(0,E232-Engagement_Register!$V$19))</f>
        <v>0</v>
      </c>
      <c r="F233" s="62" t="n">
        <f aca="false">IF(F$5="A",Inputs_Actuals!F79,MAX(0,F232-E234))</f>
        <v>0</v>
      </c>
      <c r="G233" s="62" t="n">
        <f aca="false">IF(G$5="A",Inputs_Actuals!G79,MAX(0,G232-F234))</f>
        <v>0</v>
      </c>
      <c r="H233" s="62" t="n">
        <f aca="false">IF(H$5="A",Inputs_Actuals!H79,MAX(0,H232-G234))</f>
        <v>0</v>
      </c>
      <c r="I233" s="62" t="n">
        <f aca="false">IF(I$5="A",Inputs_Actuals!I79,MAX(0,I232-H234))</f>
        <v>0</v>
      </c>
      <c r="J233" s="62" t="n">
        <f aca="false">IF(J$5="A",Inputs_Actuals!J79,MAX(0,J232-I234))</f>
        <v>54000</v>
      </c>
      <c r="K233" s="62" t="n">
        <f aca="false">IF(K$5="A",Inputs_Actuals!K79,MAX(0,K232-J234))</f>
        <v>0</v>
      </c>
      <c r="L233" s="62" t="n">
        <f aca="false">IF(L$5="A",Inputs_Actuals!L79,MAX(0,L232-K234))</f>
        <v>0</v>
      </c>
      <c r="M233" s="62" t="n">
        <f aca="false">IF(M$5="A",Inputs_Actuals!M79,MAX(0,M232-L234))</f>
        <v>72000</v>
      </c>
      <c r="N233" s="62" t="n">
        <f aca="false">IF(N$5="A",Inputs_Actuals!N79,MAX(0,N232-M234))</f>
        <v>0</v>
      </c>
      <c r="O233" s="62" t="n">
        <f aca="false">IF(O$5="A",Inputs_Actuals!O79,MAX(0,O232-N234))</f>
        <v>54000</v>
      </c>
      <c r="P233" s="62" t="n">
        <f aca="false">IF(P$5="A",Inputs_Actuals!P79,MAX(0,P232-O234))</f>
        <v>0</v>
      </c>
      <c r="Q233" s="62" t="n">
        <f aca="false">IF(Q$5="A",Inputs_Actuals!Q79,MAX(0,Q232-P234))</f>
        <v>0</v>
      </c>
      <c r="R233" s="62" t="n">
        <f aca="false">IF(R$5="A",Inputs_Actuals!R79,MAX(0,R232-Q234))</f>
        <v>0</v>
      </c>
      <c r="S233" s="62" t="n">
        <f aca="false">IF(S$5="A",Inputs_Actuals!S79,MAX(0,S232-R234))</f>
        <v>0</v>
      </c>
      <c r="T233" s="62" t="n">
        <f aca="false">IF(T$5="A",Inputs_Actuals!T79,MAX(0,T232-S234))</f>
        <v>0</v>
      </c>
      <c r="U233" s="62" t="n">
        <f aca="false">IF(U$5="A",Inputs_Actuals!U79,MAX(0,U232-T234))</f>
        <v>0</v>
      </c>
      <c r="V233" s="62" t="n">
        <f aca="false">IF(V$5="A",Inputs_Actuals!V79,MAX(0,V232-U234))</f>
        <v>0</v>
      </c>
      <c r="W233" s="62" t="n">
        <f aca="false">IF(W$5="A",Inputs_Actuals!W79,MAX(0,W232-V234))</f>
        <v>0</v>
      </c>
      <c r="X233" s="62" t="n">
        <f aca="false">IF(X$5="A",Inputs_Actuals!X79,MAX(0,X232-W234))</f>
        <v>0</v>
      </c>
      <c r="Y233" s="62" t="n">
        <f aca="false">IF(Y$5="A",Inputs_Actuals!Y79,MAX(0,Y232-X234))</f>
        <v>0</v>
      </c>
      <c r="Z233" s="62" t="n">
        <f aca="false">IF(Z$5="A",Inputs_Actuals!Z79,MAX(0,Z232-Y234))</f>
        <v>0</v>
      </c>
      <c r="AA233" s="62" t="n">
        <f aca="false">IF(AA$5="A",Inputs_Actuals!AA79,MAX(0,AA232-Z234))</f>
        <v>0</v>
      </c>
      <c r="AB233" s="62" t="n">
        <f aca="false">IF(AB$5="A",Inputs_Actuals!AB79,MAX(0,AB232-AA234))</f>
        <v>0</v>
      </c>
    </row>
    <row r="234" customFormat="false" ht="15" hidden="false" customHeight="false" outlineLevel="0" collapsed="false">
      <c r="A234" s="29" t="s">
        <v>840</v>
      </c>
      <c r="B234" s="60"/>
      <c r="C234" s="61" t="n">
        <f aca="false">P234</f>
        <v>180000</v>
      </c>
      <c r="D234" s="61" t="n">
        <f aca="false">AB234</f>
        <v>180000</v>
      </c>
      <c r="E234" s="62" t="n">
        <f aca="false">Engagement_Register!$V$19+E233</f>
        <v>0</v>
      </c>
      <c r="F234" s="71" t="n">
        <f aca="false">E234+F233</f>
        <v>0</v>
      </c>
      <c r="G234" s="71" t="n">
        <f aca="false">F234+G233</f>
        <v>0</v>
      </c>
      <c r="H234" s="71" t="n">
        <f aca="false">G234+H233</f>
        <v>0</v>
      </c>
      <c r="I234" s="71" t="n">
        <f aca="false">H234+I233</f>
        <v>0</v>
      </c>
      <c r="J234" s="71" t="n">
        <f aca="false">I234+J233</f>
        <v>54000</v>
      </c>
      <c r="K234" s="71" t="n">
        <f aca="false">J234+K233</f>
        <v>54000</v>
      </c>
      <c r="L234" s="71" t="n">
        <f aca="false">K234+L233</f>
        <v>54000</v>
      </c>
      <c r="M234" s="71" t="n">
        <f aca="false">L234+M233</f>
        <v>126000</v>
      </c>
      <c r="N234" s="71" t="n">
        <f aca="false">M234+N233</f>
        <v>126000</v>
      </c>
      <c r="O234" s="71" t="n">
        <f aca="false">N234+O233</f>
        <v>180000</v>
      </c>
      <c r="P234" s="71" t="n">
        <f aca="false">O234+P233</f>
        <v>180000</v>
      </c>
      <c r="Q234" s="71" t="n">
        <f aca="false">P234+Q233</f>
        <v>180000</v>
      </c>
      <c r="R234" s="71" t="n">
        <f aca="false">Q234+R233</f>
        <v>180000</v>
      </c>
      <c r="S234" s="71" t="n">
        <f aca="false">R234+S233</f>
        <v>180000</v>
      </c>
      <c r="T234" s="71" t="n">
        <f aca="false">S234+T233</f>
        <v>180000</v>
      </c>
      <c r="U234" s="71" t="n">
        <f aca="false">T234+U233</f>
        <v>180000</v>
      </c>
      <c r="V234" s="71" t="n">
        <f aca="false">U234+V233</f>
        <v>180000</v>
      </c>
      <c r="W234" s="71" t="n">
        <f aca="false">V234+W233</f>
        <v>180000</v>
      </c>
      <c r="X234" s="71" t="n">
        <f aca="false">W234+X233</f>
        <v>180000</v>
      </c>
      <c r="Y234" s="71" t="n">
        <f aca="false">X234+Y233</f>
        <v>180000</v>
      </c>
      <c r="Z234" s="71" t="n">
        <f aca="false">Y234+Z233</f>
        <v>180000</v>
      </c>
      <c r="AA234" s="71" t="n">
        <f aca="false">Z234+AA233</f>
        <v>180000</v>
      </c>
      <c r="AB234" s="71" t="n">
        <f aca="false">AA234+AB233</f>
        <v>180000</v>
      </c>
    </row>
    <row r="235" customFormat="false" ht="15" hidden="false" customHeight="false" outlineLevel="0" collapsed="false">
      <c r="A235" s="29" t="s">
        <v>841</v>
      </c>
      <c r="B235" s="60" t="s">
        <v>842</v>
      </c>
      <c r="C235" s="61" t="n">
        <f aca="false">SUM(E235:P235)</f>
        <v>18489.43</v>
      </c>
      <c r="D235" s="61" t="n">
        <f aca="false">SUM(Q235:AB235)</f>
        <v>0</v>
      </c>
      <c r="E235" s="62" t="n">
        <f aca="false">IF(E$5="A",Inputs_Actuals!E80,E21*Engagement_Register!$N$19*Assumptions!E$195)</f>
        <v>0</v>
      </c>
      <c r="F235" s="62" t="n">
        <f aca="false">IF(F$5="A",Inputs_Actuals!F80,F21*Engagement_Register!$N$19*Assumptions!F$195)</f>
        <v>0</v>
      </c>
      <c r="G235" s="62" t="n">
        <f aca="false">IF(G$5="A",Inputs_Actuals!G80,G21*Engagement_Register!$N$19*Assumptions!G$195)</f>
        <v>0</v>
      </c>
      <c r="H235" s="62" t="n">
        <f aca="false">IF(H$5="A",Inputs_Actuals!H80,H21*Engagement_Register!$N$19*Assumptions!H$195)</f>
        <v>0</v>
      </c>
      <c r="I235" s="62" t="n">
        <f aca="false">IF(I$5="A",Inputs_Actuals!I80,I21*Engagement_Register!$N$19*Assumptions!I$195)</f>
        <v>0</v>
      </c>
      <c r="J235" s="62" t="n">
        <f aca="false">IF(J$5="A",Inputs_Actuals!J80,J21*Engagement_Register!$N$19*Assumptions!J$195)</f>
        <v>3066.6</v>
      </c>
      <c r="K235" s="62" t="n">
        <f aca="false">IF(K$5="A",Inputs_Actuals!K80,K21*Engagement_Register!$N$19*Assumptions!K$195)</f>
        <v>3050.99</v>
      </c>
      <c r="L235" s="62" t="n">
        <f aca="false">IF(L$5="A",Inputs_Actuals!L80,L21*Engagement_Register!$N$19*Assumptions!L$195)</f>
        <v>2516.54</v>
      </c>
      <c r="M235" s="62" t="n">
        <f aca="false">IF(M$5="A",Inputs_Actuals!M80,M21*Engagement_Register!$N$19*Assumptions!M$195)</f>
        <v>3379.46552962298</v>
      </c>
      <c r="N235" s="62" t="n">
        <f aca="false">IF(N$5="A",Inputs_Actuals!N80,N21*Engagement_Register!$N$19*Assumptions!N$195)</f>
        <v>3255.61077199282</v>
      </c>
      <c r="O235" s="62" t="n">
        <f aca="false">IF(O$5="A",Inputs_Actuals!O80,O21*Engagement_Register!$N$19*Assumptions!O$195)</f>
        <v>3220.2236983842</v>
      </c>
      <c r="P235" s="62" t="n">
        <f aca="false">IF(P$5="A",Inputs_Actuals!P80,P21*Engagement_Register!$N$19*Assumptions!P$195)</f>
        <v>0</v>
      </c>
      <c r="Q235" s="62" t="n">
        <f aca="false">IF(Q$5="A",Inputs_Actuals!Q80,Q21*Engagement_Register!$N$19*Assumptions!Q$195)</f>
        <v>0</v>
      </c>
      <c r="R235" s="62" t="n">
        <f aca="false">IF(R$5="A",Inputs_Actuals!R80,R21*Engagement_Register!$N$19*Assumptions!R$195)</f>
        <v>0</v>
      </c>
      <c r="S235" s="62" t="n">
        <f aca="false">IF(S$5="A",Inputs_Actuals!S80,S21*Engagement_Register!$N$19*Assumptions!S$195)</f>
        <v>0</v>
      </c>
      <c r="T235" s="62" t="n">
        <f aca="false">IF(T$5="A",Inputs_Actuals!T80,T21*Engagement_Register!$N$19*Assumptions!T$195)</f>
        <v>0</v>
      </c>
      <c r="U235" s="62" t="n">
        <f aca="false">IF(U$5="A",Inputs_Actuals!U80,U21*Engagement_Register!$N$19*Assumptions!U$195)</f>
        <v>0</v>
      </c>
      <c r="V235" s="62" t="n">
        <f aca="false">IF(V$5="A",Inputs_Actuals!V80,V21*Engagement_Register!$N$19*Assumptions!V$195)</f>
        <v>0</v>
      </c>
      <c r="W235" s="62" t="n">
        <f aca="false">IF(W$5="A",Inputs_Actuals!W80,W21*Engagement_Register!$N$19*Assumptions!W$195)</f>
        <v>0</v>
      </c>
      <c r="X235" s="62" t="n">
        <f aca="false">IF(X$5="A",Inputs_Actuals!X80,X21*Engagement_Register!$N$19*Assumptions!X$195)</f>
        <v>0</v>
      </c>
      <c r="Y235" s="62" t="n">
        <f aca="false">IF(Y$5="A",Inputs_Actuals!Y80,Y21*Engagement_Register!$N$19*Assumptions!Y$195)</f>
        <v>0</v>
      </c>
      <c r="Z235" s="62" t="n">
        <f aca="false">IF(Z$5="A",Inputs_Actuals!Z80,Z21*Engagement_Register!$N$19*Assumptions!Z$195)</f>
        <v>0</v>
      </c>
      <c r="AA235" s="62" t="n">
        <f aca="false">IF(AA$5="A",Inputs_Actuals!AA80,AA21*Engagement_Register!$N$19*Assumptions!AA$195)</f>
        <v>0</v>
      </c>
      <c r="AB235" s="62" t="n">
        <f aca="false">IF(AB$5="A",Inputs_Actuals!AB80,AB21*Engagement_Register!$N$19*Assumptions!AB$195)</f>
        <v>0</v>
      </c>
    </row>
    <row r="236" customFormat="false" ht="15" hidden="false" customHeight="false" outlineLevel="0" collapsed="false">
      <c r="A236" s="29" t="s">
        <v>847</v>
      </c>
      <c r="B236" s="60" t="s">
        <v>848</v>
      </c>
      <c r="C236" s="61" t="n">
        <f aca="false">P236</f>
        <v>0</v>
      </c>
      <c r="D236" s="61" t="n">
        <f aca="false">AB236</f>
        <v>0</v>
      </c>
      <c r="E236" s="62" t="n">
        <f aca="false">Engagement_Register!$X$19+E231-E233</f>
        <v>0</v>
      </c>
      <c r="F236" s="71" t="n">
        <f aca="false">E236+F231-F233</f>
        <v>0</v>
      </c>
      <c r="G236" s="71" t="n">
        <f aca="false">F236+G231-G233</f>
        <v>0</v>
      </c>
      <c r="H236" s="71" t="n">
        <f aca="false">G236+H231-H233</f>
        <v>0</v>
      </c>
      <c r="I236" s="71" t="n">
        <f aca="false">H236+I231-I233</f>
        <v>0</v>
      </c>
      <c r="J236" s="71" t="n">
        <f aca="false">I236+J231-J233</f>
        <v>-25279.12</v>
      </c>
      <c r="K236" s="71" t="n">
        <f aca="false">J236+K231-K233</f>
        <v>9613.19</v>
      </c>
      <c r="L236" s="71" t="n">
        <f aca="false">K236+L231-L233</f>
        <v>33171.43</v>
      </c>
      <c r="M236" s="71" t="n">
        <f aca="false">L236+M231-M233</f>
        <v>-8436.73863872043</v>
      </c>
      <c r="N236" s="71" t="n">
        <f aca="false">M236+N231-N233</f>
        <v>22952.2228627128</v>
      </c>
      <c r="O236" s="71" t="n">
        <f aca="false">N236+O231-O233</f>
        <v>0</v>
      </c>
      <c r="P236" s="71" t="n">
        <f aca="false">O236+P231-P233</f>
        <v>0</v>
      </c>
      <c r="Q236" s="71" t="n">
        <f aca="false">P236+Q231-Q233</f>
        <v>0</v>
      </c>
      <c r="R236" s="71" t="n">
        <f aca="false">Q236+R231-R233</f>
        <v>0</v>
      </c>
      <c r="S236" s="71" t="n">
        <f aca="false">R236+S231-S233</f>
        <v>0</v>
      </c>
      <c r="T236" s="71" t="n">
        <f aca="false">S236+T231-T233</f>
        <v>0</v>
      </c>
      <c r="U236" s="71" t="n">
        <f aca="false">T236+U231-U233</f>
        <v>0</v>
      </c>
      <c r="V236" s="71" t="n">
        <f aca="false">U236+V231-V233</f>
        <v>0</v>
      </c>
      <c r="W236" s="71" t="n">
        <f aca="false">V236+W231-W233</f>
        <v>0</v>
      </c>
      <c r="X236" s="71" t="n">
        <f aca="false">W236+X231-X233</f>
        <v>0</v>
      </c>
      <c r="Y236" s="71" t="n">
        <f aca="false">X236+Y231-Y233</f>
        <v>0</v>
      </c>
      <c r="Z236" s="71" t="n">
        <f aca="false">Y236+Z231-Z233</f>
        <v>0</v>
      </c>
      <c r="AA236" s="71" t="n">
        <f aca="false">Z236+AA231-AA233</f>
        <v>0</v>
      </c>
      <c r="AB236" s="71" t="n">
        <f aca="false">AA236+AB231-AB233</f>
        <v>0</v>
      </c>
    </row>
    <row r="237" customFormat="false" ht="15" hidden="false" customHeight="false" outlineLevel="0" collapsed="false">
      <c r="A237" s="29" t="s">
        <v>849</v>
      </c>
      <c r="B237" s="60" t="s">
        <v>850</v>
      </c>
      <c r="C237" s="61" t="n">
        <f aca="false">P237</f>
        <v>0</v>
      </c>
      <c r="D237" s="61" t="n">
        <f aca="false">AB237</f>
        <v>0</v>
      </c>
      <c r="E237" s="62" t="n">
        <f aca="false">MAX(0,Engagement_Register!$AP$19-E230)</f>
        <v>180000</v>
      </c>
      <c r="F237" s="62" t="n">
        <f aca="false">MAX(0,Engagement_Register!$AP$19-F230)</f>
        <v>180000</v>
      </c>
      <c r="G237" s="62" t="n">
        <f aca="false">MAX(0,Engagement_Register!$AP$19-G230)</f>
        <v>180000</v>
      </c>
      <c r="H237" s="62" t="n">
        <f aca="false">MAX(0,Engagement_Register!$AP$19-H230)</f>
        <v>180000</v>
      </c>
      <c r="I237" s="62" t="n">
        <f aca="false">MAX(0,Engagement_Register!$AP$19-I230)</f>
        <v>180000</v>
      </c>
      <c r="J237" s="62" t="n">
        <f aca="false">MAX(0,Engagement_Register!$AP$19-J230)</f>
        <v>151279.12</v>
      </c>
      <c r="K237" s="62" t="n">
        <f aca="false">MAX(0,Engagement_Register!$AP$19-K230)</f>
        <v>116386.81</v>
      </c>
      <c r="L237" s="62" t="n">
        <f aca="false">MAX(0,Engagement_Register!$AP$19-L230)</f>
        <v>92828.57</v>
      </c>
      <c r="M237" s="62" t="n">
        <f aca="false">MAX(0,Engagement_Register!$AP$19-M230)</f>
        <v>62436.7386387204</v>
      </c>
      <c r="N237" s="62" t="n">
        <f aca="false">MAX(0,Engagement_Register!$AP$19-N230)</f>
        <v>31047.7771372872</v>
      </c>
      <c r="O237" s="62" t="n">
        <f aca="false">MAX(0,Engagement_Register!$AP$19-O230)</f>
        <v>0</v>
      </c>
      <c r="P237" s="62" t="n">
        <f aca="false">MAX(0,Engagement_Register!$AP$19-P230)</f>
        <v>0</v>
      </c>
      <c r="Q237" s="62" t="n">
        <f aca="false">MAX(0,Engagement_Register!$AP$19-Q230)</f>
        <v>0</v>
      </c>
      <c r="R237" s="62" t="n">
        <f aca="false">MAX(0,Engagement_Register!$AP$19-R230)</f>
        <v>0</v>
      </c>
      <c r="S237" s="62" t="n">
        <f aca="false">MAX(0,Engagement_Register!$AP$19-S230)</f>
        <v>0</v>
      </c>
      <c r="T237" s="62" t="n">
        <f aca="false">MAX(0,Engagement_Register!$AP$19-T230)</f>
        <v>0</v>
      </c>
      <c r="U237" s="62" t="n">
        <f aca="false">MAX(0,Engagement_Register!$AP$19-U230)</f>
        <v>0</v>
      </c>
      <c r="V237" s="62" t="n">
        <f aca="false">MAX(0,Engagement_Register!$AP$19-V230)</f>
        <v>0</v>
      </c>
      <c r="W237" s="62" t="n">
        <f aca="false">MAX(0,Engagement_Register!$AP$19-W230)</f>
        <v>0</v>
      </c>
      <c r="X237" s="62" t="n">
        <f aca="false">MAX(0,Engagement_Register!$AP$19-X230)</f>
        <v>0</v>
      </c>
      <c r="Y237" s="62" t="n">
        <f aca="false">MAX(0,Engagement_Register!$AP$19-Y230)</f>
        <v>0</v>
      </c>
      <c r="Z237" s="62" t="n">
        <f aca="false">MAX(0,Engagement_Register!$AP$19-Z230)</f>
        <v>0</v>
      </c>
      <c r="AA237" s="62" t="n">
        <f aca="false">MAX(0,Engagement_Register!$AP$19-AA230)</f>
        <v>0</v>
      </c>
      <c r="AB237" s="62" t="n">
        <f aca="false">MAX(0,Engagement_Register!$AP$19-AB230)</f>
        <v>0</v>
      </c>
    </row>
    <row r="238" customFormat="false" ht="15" hidden="false" customHeight="false" outlineLevel="0" collapsed="false">
      <c r="A238" s="29" t="s">
        <v>861</v>
      </c>
      <c r="B238" s="60" t="s">
        <v>862</v>
      </c>
      <c r="E238" s="62" t="n">
        <f aca="false">IF(E$5="A",ROUND(E230-E227*Engagement_Register!$AP$19,0),0)</f>
        <v>0</v>
      </c>
      <c r="F238" s="62" t="n">
        <f aca="false">IF(F$5="A",ROUND(F230-F227*Engagement_Register!$AP$19,0),0)</f>
        <v>0</v>
      </c>
      <c r="G238" s="62" t="n">
        <f aca="false">IF(G$5="A",ROUND(G230-G227*Engagement_Register!$AP$19,0),0)</f>
        <v>0</v>
      </c>
      <c r="H238" s="62" t="n">
        <f aca="false">IF(H$5="A",ROUND(H230-H227*Engagement_Register!$AP$19,0),0)</f>
        <v>0</v>
      </c>
      <c r="I238" s="62" t="n">
        <f aca="false">IF(I$5="A",ROUND(I230-I227*Engagement_Register!$AP$19,0),0)</f>
        <v>0</v>
      </c>
      <c r="J238" s="62" t="n">
        <f aca="false">IF(J$5="A",ROUND(J230-J227*Engagement_Register!$AP$19,0),0)</f>
        <v>0</v>
      </c>
      <c r="K238" s="62" t="n">
        <f aca="false">IF(K$5="A",ROUND(K230-K227*Engagement_Register!$AP$19,0),0)</f>
        <v>0</v>
      </c>
      <c r="L238" s="62" t="n">
        <f aca="false">IF(L$5="A",ROUND(L230-L227*Engagement_Register!$AP$19,0),0)</f>
        <v>0</v>
      </c>
      <c r="M238" s="62" t="n">
        <f aca="false">IF(M$5="A",ROUND(M230-M227*Engagement_Register!$AP$19,0),0)</f>
        <v>0</v>
      </c>
      <c r="N238" s="62" t="n">
        <f aca="false">IF(N$5="A",ROUND(N230-N227*Engagement_Register!$AP$19,0),0)</f>
        <v>0</v>
      </c>
      <c r="O238" s="62" t="n">
        <f aca="false">IF(O$5="A",ROUND(O230-O227*Engagement_Register!$AP$19,0),0)</f>
        <v>0</v>
      </c>
      <c r="P238" s="62" t="n">
        <f aca="false">IF(P$5="A",ROUND(P230-P227*Engagement_Register!$AP$19,0),0)</f>
        <v>0</v>
      </c>
      <c r="Q238" s="62" t="n">
        <f aca="false">IF(Q$5="A",ROUND(Q230-Q227*Engagement_Register!$AP$19,0),0)</f>
        <v>0</v>
      </c>
      <c r="R238" s="62" t="n">
        <f aca="false">IF(R$5="A",ROUND(R230-R227*Engagement_Register!$AP$19,0),0)</f>
        <v>0</v>
      </c>
      <c r="S238" s="62" t="n">
        <f aca="false">IF(S$5="A",ROUND(S230-S227*Engagement_Register!$AP$19,0),0)</f>
        <v>0</v>
      </c>
      <c r="T238" s="62" t="n">
        <f aca="false">IF(T$5="A",ROUND(T230-T227*Engagement_Register!$AP$19,0),0)</f>
        <v>0</v>
      </c>
      <c r="U238" s="62" t="n">
        <f aca="false">IF(U$5="A",ROUND(U230-U227*Engagement_Register!$AP$19,0),0)</f>
        <v>0</v>
      </c>
      <c r="V238" s="62" t="n">
        <f aca="false">IF(V$5="A",ROUND(V230-V227*Engagement_Register!$AP$19,0),0)</f>
        <v>0</v>
      </c>
      <c r="W238" s="62" t="n">
        <f aca="false">IF(W$5="A",ROUND(W230-W227*Engagement_Register!$AP$19,0),0)</f>
        <v>0</v>
      </c>
      <c r="X238" s="62" t="n">
        <f aca="false">IF(X$5="A",ROUND(X230-X227*Engagement_Register!$AP$19,0),0)</f>
        <v>0</v>
      </c>
      <c r="Y238" s="62" t="n">
        <f aca="false">IF(Y$5="A",ROUND(Y230-Y227*Engagement_Register!$AP$19,0),0)</f>
        <v>0</v>
      </c>
      <c r="Z238" s="62" t="n">
        <f aca="false">IF(Z$5="A",ROUND(Z230-Z227*Engagement_Register!$AP$19,0),0)</f>
        <v>0</v>
      </c>
      <c r="AA238" s="62" t="n">
        <f aca="false">IF(AA$5="A",ROUND(AA230-AA227*Engagement_Register!$AP$19,0),0)</f>
        <v>0</v>
      </c>
      <c r="AB238" s="62" t="n">
        <f aca="false">IF(AB$5="A",ROUND(AB230-AB227*Engagement_Register!$AP$19,0),0)</f>
        <v>0</v>
      </c>
    </row>
    <row r="240" customFormat="false" ht="15" hidden="false" customHeight="false" outlineLevel="0" collapsed="false">
      <c r="A240" s="23" t="s">
        <v>879</v>
      </c>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row>
    <row r="241" customFormat="false" ht="15" hidden="false" customHeight="false" outlineLevel="0" collapsed="false">
      <c r="A241" s="29" t="s">
        <v>736</v>
      </c>
      <c r="B241" s="60" t="s">
        <v>832</v>
      </c>
      <c r="C241" s="66" t="n">
        <f aca="false">P241</f>
        <v>1831.90097287184</v>
      </c>
      <c r="D241" s="66" t="n">
        <f aca="false">AB241</f>
        <v>2386.935</v>
      </c>
      <c r="E241" s="67" t="n">
        <f aca="false">Engagement_Register!$T$20+E22</f>
        <v>0</v>
      </c>
      <c r="F241" s="72" t="n">
        <f aca="false">E241+F22</f>
        <v>0</v>
      </c>
      <c r="G241" s="72" t="n">
        <f aca="false">F241+G22</f>
        <v>0</v>
      </c>
      <c r="H241" s="72" t="n">
        <f aca="false">G241+H22</f>
        <v>0</v>
      </c>
      <c r="I241" s="72" t="n">
        <f aca="false">H241+I22</f>
        <v>0</v>
      </c>
      <c r="J241" s="72" t="n">
        <f aca="false">I241+J22</f>
        <v>0</v>
      </c>
      <c r="K241" s="72" t="n">
        <f aca="false">J241+K22</f>
        <v>311.7</v>
      </c>
      <c r="L241" s="72" t="n">
        <f aca="false">K241+L22</f>
        <v>561.3</v>
      </c>
      <c r="M241" s="72" t="n">
        <f aca="false">L241+M22</f>
        <v>887.489228250702</v>
      </c>
      <c r="N241" s="72" t="n">
        <f aca="false">M241+N22</f>
        <v>1201.72387745557</v>
      </c>
      <c r="O241" s="72" t="n">
        <f aca="false">N241+O22</f>
        <v>1512.54293264733</v>
      </c>
      <c r="P241" s="72" t="n">
        <f aca="false">O241+P22</f>
        <v>1831.90097287184</v>
      </c>
      <c r="Q241" s="72" t="n">
        <f aca="false">P241+Q22</f>
        <v>2105.14849391955</v>
      </c>
      <c r="R241" s="72" t="n">
        <f aca="false">Q241+R22</f>
        <v>2386.935</v>
      </c>
      <c r="S241" s="72" t="n">
        <f aca="false">R241+S22</f>
        <v>2386.935</v>
      </c>
      <c r="T241" s="72" t="n">
        <f aca="false">S241+T22</f>
        <v>2386.935</v>
      </c>
      <c r="U241" s="72" t="n">
        <f aca="false">T241+U22</f>
        <v>2386.935</v>
      </c>
      <c r="V241" s="72" t="n">
        <f aca="false">U241+V22</f>
        <v>2386.935</v>
      </c>
      <c r="W241" s="72" t="n">
        <f aca="false">V241+W22</f>
        <v>2386.935</v>
      </c>
      <c r="X241" s="72" t="n">
        <f aca="false">W241+X22</f>
        <v>2386.935</v>
      </c>
      <c r="Y241" s="72" t="n">
        <f aca="false">X241+Y22</f>
        <v>2386.935</v>
      </c>
      <c r="Z241" s="72" t="n">
        <f aca="false">Y241+Z22</f>
        <v>2386.935</v>
      </c>
      <c r="AA241" s="72" t="n">
        <f aca="false">Z241+AA22</f>
        <v>2386.935</v>
      </c>
      <c r="AB241" s="72" t="n">
        <f aca="false">AA241+AB22</f>
        <v>2386.935</v>
      </c>
    </row>
    <row r="242" customFormat="false" ht="15" hidden="false" customHeight="false" outlineLevel="0" collapsed="false">
      <c r="A242" s="29" t="s">
        <v>852</v>
      </c>
      <c r="B242" s="60" t="s">
        <v>853</v>
      </c>
      <c r="C242" s="66" t="n">
        <f aca="false">P242</f>
        <v>2386.935</v>
      </c>
      <c r="D242" s="66" t="n">
        <f aca="false">AB242</f>
        <v>2386.935</v>
      </c>
      <c r="E242" s="67" t="n">
        <f aca="false">IF(E$5="A",IF(E241+N(Inputs_Actuals!E82)&lt;=0,Engagement_Register!$AM$20,E241+N(Inputs_Actuals!E82)),Engagement_Register!$AM$20)</f>
        <v>2386.935</v>
      </c>
      <c r="F242" s="67" t="n">
        <f aca="false">IF(F$5="A",IF(F241+N(Inputs_Actuals!F82)&lt;=0,Engagement_Register!$AM$20,F241+N(Inputs_Actuals!F82)),Engagement_Register!$AM$20)</f>
        <v>2386.935</v>
      </c>
      <c r="G242" s="67" t="n">
        <f aca="false">IF(G$5="A",IF(G241+N(Inputs_Actuals!G82)&lt;=0,Engagement_Register!$AM$20,G241+N(Inputs_Actuals!G82)),Engagement_Register!$AM$20)</f>
        <v>2386.935</v>
      </c>
      <c r="H242" s="67" t="n">
        <f aca="false">IF(H$5="A",IF(H241+N(Inputs_Actuals!H82)&lt;=0,Engagement_Register!$AM$20,H241+N(Inputs_Actuals!H82)),Engagement_Register!$AM$20)</f>
        <v>2386.935</v>
      </c>
      <c r="I242" s="67" t="n">
        <f aca="false">IF(I$5="A",IF(I241+N(Inputs_Actuals!I82)&lt;=0,Engagement_Register!$AM$20,I241+N(Inputs_Actuals!I82)),Engagement_Register!$AM$20)</f>
        <v>2386.935</v>
      </c>
      <c r="J242" s="67" t="n">
        <f aca="false">IF(J$5="A",IF(J241+N(Inputs_Actuals!J82)&lt;=0,Engagement_Register!$AM$20,J241+N(Inputs_Actuals!J82)),Engagement_Register!$AM$20)</f>
        <v>2386.935</v>
      </c>
      <c r="K242" s="67" t="n">
        <f aca="false">IF(K$5="A",IF(K241+N(Inputs_Actuals!K82)&lt;=0,Engagement_Register!$AM$20,K241+N(Inputs_Actuals!K82)),Engagement_Register!$AM$20)</f>
        <v>2300</v>
      </c>
      <c r="L242" s="67" t="n">
        <f aca="false">IF(L$5="A",IF(L241+N(Inputs_Actuals!L82)&lt;=0,Engagement_Register!$AM$20,L241+N(Inputs_Actuals!L82)),Engagement_Register!$AM$20)</f>
        <v>2300</v>
      </c>
      <c r="M242" s="67" t="n">
        <f aca="false">IF(M$5="A",IF(M241+N(Inputs_Actuals!M82)&lt;=0,Engagement_Register!$AM$20,M241+N(Inputs_Actuals!M82)),Engagement_Register!$AM$20)</f>
        <v>2386.935</v>
      </c>
      <c r="N242" s="67" t="n">
        <f aca="false">IF(N$5="A",IF(N241+N(Inputs_Actuals!N82)&lt;=0,Engagement_Register!$AM$20,N241+N(Inputs_Actuals!N82)),Engagement_Register!$AM$20)</f>
        <v>2386.935</v>
      </c>
      <c r="O242" s="67" t="n">
        <f aca="false">IF(O$5="A",IF(O241+N(Inputs_Actuals!O82)&lt;=0,Engagement_Register!$AM$20,O241+N(Inputs_Actuals!O82)),Engagement_Register!$AM$20)</f>
        <v>2386.935</v>
      </c>
      <c r="P242" s="67" t="n">
        <f aca="false">IF(P$5="A",IF(P241+N(Inputs_Actuals!P82)&lt;=0,Engagement_Register!$AM$20,P241+N(Inputs_Actuals!P82)),Engagement_Register!$AM$20)</f>
        <v>2386.935</v>
      </c>
      <c r="Q242" s="67" t="n">
        <f aca="false">IF(Q$5="A",IF(Q241+N(Inputs_Actuals!Q82)&lt;=0,Engagement_Register!$AM$20,Q241+N(Inputs_Actuals!Q82)),Engagement_Register!$AM$20)</f>
        <v>2386.935</v>
      </c>
      <c r="R242" s="67" t="n">
        <f aca="false">IF(R$5="A",IF(R241+N(Inputs_Actuals!R82)&lt;=0,Engagement_Register!$AM$20,R241+N(Inputs_Actuals!R82)),Engagement_Register!$AM$20)</f>
        <v>2386.935</v>
      </c>
      <c r="S242" s="67" t="n">
        <f aca="false">IF(S$5="A",IF(S241+N(Inputs_Actuals!S82)&lt;=0,Engagement_Register!$AM$20,S241+N(Inputs_Actuals!S82)),Engagement_Register!$AM$20)</f>
        <v>2386.935</v>
      </c>
      <c r="T242" s="67" t="n">
        <f aca="false">IF(T$5="A",IF(T241+N(Inputs_Actuals!T82)&lt;=0,Engagement_Register!$AM$20,T241+N(Inputs_Actuals!T82)),Engagement_Register!$AM$20)</f>
        <v>2386.935</v>
      </c>
      <c r="U242" s="67" t="n">
        <f aca="false">IF(U$5="A",IF(U241+N(Inputs_Actuals!U82)&lt;=0,Engagement_Register!$AM$20,U241+N(Inputs_Actuals!U82)),Engagement_Register!$AM$20)</f>
        <v>2386.935</v>
      </c>
      <c r="V242" s="67" t="n">
        <f aca="false">IF(V$5="A",IF(V241+N(Inputs_Actuals!V82)&lt;=0,Engagement_Register!$AM$20,V241+N(Inputs_Actuals!V82)),Engagement_Register!$AM$20)</f>
        <v>2386.935</v>
      </c>
      <c r="W242" s="67" t="n">
        <f aca="false">IF(W$5="A",IF(W241+N(Inputs_Actuals!W82)&lt;=0,Engagement_Register!$AM$20,W241+N(Inputs_Actuals!W82)),Engagement_Register!$AM$20)</f>
        <v>2386.935</v>
      </c>
      <c r="X242" s="67" t="n">
        <f aca="false">IF(X$5="A",IF(X241+N(Inputs_Actuals!X82)&lt;=0,Engagement_Register!$AM$20,X241+N(Inputs_Actuals!X82)),Engagement_Register!$AM$20)</f>
        <v>2386.935</v>
      </c>
      <c r="Y242" s="67" t="n">
        <f aca="false">IF(Y$5="A",IF(Y241+N(Inputs_Actuals!Y82)&lt;=0,Engagement_Register!$AM$20,Y241+N(Inputs_Actuals!Y82)),Engagement_Register!$AM$20)</f>
        <v>2386.935</v>
      </c>
      <c r="Z242" s="67" t="n">
        <f aca="false">IF(Z$5="A",IF(Z241+N(Inputs_Actuals!Z82)&lt;=0,Engagement_Register!$AM$20,Z241+N(Inputs_Actuals!Z82)),Engagement_Register!$AM$20)</f>
        <v>2386.935</v>
      </c>
      <c r="AA242" s="67" t="n">
        <f aca="false">IF(AA$5="A",IF(AA241+N(Inputs_Actuals!AA82)&lt;=0,Engagement_Register!$AM$20,AA241+N(Inputs_Actuals!AA82)),Engagement_Register!$AM$20)</f>
        <v>2386.935</v>
      </c>
      <c r="AB242" s="67" t="n">
        <f aca="false">IF(AB$5="A",IF(AB241+N(Inputs_Actuals!AB82)&lt;=0,Engagement_Register!$AM$20,AB241+N(Inputs_Actuals!AB82)),Engagement_Register!$AM$20)</f>
        <v>2386.935</v>
      </c>
    </row>
    <row r="243" customFormat="false" ht="15" hidden="false" customHeight="false" outlineLevel="0" collapsed="false">
      <c r="A243" s="29" t="s">
        <v>854</v>
      </c>
      <c r="B243" s="60" t="s">
        <v>855</v>
      </c>
      <c r="C243" s="63" t="n">
        <f aca="false">P243</f>
        <v>0.767469986770416</v>
      </c>
      <c r="D243" s="63" t="n">
        <f aca="false">AB243</f>
        <v>1</v>
      </c>
      <c r="E243" s="64" t="n">
        <f aca="false">IF(E242&lt;=0,0,MIN(1,E241/E242))</f>
        <v>0</v>
      </c>
      <c r="F243" s="64" t="n">
        <f aca="false">IF(F242&lt;=0,0,MIN(1,F241/F242))</f>
        <v>0</v>
      </c>
      <c r="G243" s="64" t="n">
        <f aca="false">IF(G242&lt;=0,0,MIN(1,G241/G242))</f>
        <v>0</v>
      </c>
      <c r="H243" s="64" t="n">
        <f aca="false">IF(H242&lt;=0,0,MIN(1,H241/H242))</f>
        <v>0</v>
      </c>
      <c r="I243" s="64" t="n">
        <f aca="false">IF(I242&lt;=0,0,MIN(1,I241/I242))</f>
        <v>0</v>
      </c>
      <c r="J243" s="64" t="n">
        <f aca="false">IF(J242&lt;=0,0,MIN(1,J241/J242))</f>
        <v>0</v>
      </c>
      <c r="K243" s="64" t="n">
        <f aca="false">IF(K242&lt;=0,0,MIN(1,K241/K242))</f>
        <v>0.135521739130435</v>
      </c>
      <c r="L243" s="64" t="n">
        <f aca="false">IF(L242&lt;=0,0,MIN(1,L241/L242))</f>
        <v>0.24404347826087</v>
      </c>
      <c r="M243" s="64" t="n">
        <f aca="false">IF(M242&lt;=0,0,MIN(1,M241/M242))</f>
        <v>0.371811225798231</v>
      </c>
      <c r="N243" s="64" t="n">
        <f aca="false">IF(N242&lt;=0,0,MIN(1,N241/N242))</f>
        <v>0.503458987134365</v>
      </c>
      <c r="O243" s="64" t="n">
        <f aca="false">IF(O242&lt;=0,0,MIN(1,O241/O242))</f>
        <v>0.633675794542932</v>
      </c>
      <c r="P243" s="64" t="n">
        <f aca="false">IF(P242&lt;=0,0,MIN(1,P241/P242))</f>
        <v>0.767469986770416</v>
      </c>
      <c r="Q243" s="64" t="n">
        <f aca="false">IF(Q242&lt;=0,0,MIN(1,Q241/Q242))</f>
        <v>0.88194630097575</v>
      </c>
      <c r="R243" s="64" t="n">
        <f aca="false">IF(R242&lt;=0,0,MIN(1,R241/R242))</f>
        <v>1</v>
      </c>
      <c r="S243" s="64" t="n">
        <f aca="false">IF(S242&lt;=0,0,MIN(1,S241/S242))</f>
        <v>1</v>
      </c>
      <c r="T243" s="64" t="n">
        <f aca="false">IF(T242&lt;=0,0,MIN(1,T241/T242))</f>
        <v>1</v>
      </c>
      <c r="U243" s="64" t="n">
        <f aca="false">IF(U242&lt;=0,0,MIN(1,U241/U242))</f>
        <v>1</v>
      </c>
      <c r="V243" s="64" t="n">
        <f aca="false">IF(V242&lt;=0,0,MIN(1,V241/V242))</f>
        <v>1</v>
      </c>
      <c r="W243" s="64" t="n">
        <f aca="false">IF(W242&lt;=0,0,MIN(1,W241/W242))</f>
        <v>1</v>
      </c>
      <c r="X243" s="64" t="n">
        <f aca="false">IF(X242&lt;=0,0,MIN(1,X241/X242))</f>
        <v>1</v>
      </c>
      <c r="Y243" s="64" t="n">
        <f aca="false">IF(Y242&lt;=0,0,MIN(1,Y241/Y242))</f>
        <v>1</v>
      </c>
      <c r="Z243" s="64" t="n">
        <f aca="false">IF(Z242&lt;=0,0,MIN(1,Z241/Z242))</f>
        <v>1</v>
      </c>
      <c r="AA243" s="64" t="n">
        <f aca="false">IF(AA242&lt;=0,0,MIN(1,AA241/AA242))</f>
        <v>1</v>
      </c>
      <c r="AB243" s="64" t="n">
        <f aca="false">IF(AB242&lt;=0,0,MIN(1,AB241/AB242))</f>
        <v>1</v>
      </c>
    </row>
    <row r="244" customFormat="false" ht="15" hidden="false" customHeight="false" outlineLevel="0" collapsed="false">
      <c r="A244" s="29" t="s">
        <v>833</v>
      </c>
      <c r="B244" s="60" t="s">
        <v>834</v>
      </c>
      <c r="C244" s="61" t="n">
        <f aca="false">SUM(E244:P244)</f>
        <v>360334.921363892</v>
      </c>
      <c r="D244" s="61" t="n">
        <f aca="false">SUM(Q244:AB244)</f>
        <v>113542.200861553</v>
      </c>
      <c r="E244" s="62" t="n">
        <f aca="false">E22*Engagement_Register!$AD$20*Assumptions!E$194</f>
        <v>0</v>
      </c>
      <c r="F244" s="62" t="n">
        <f aca="false">F22*Engagement_Register!$AD$20*Assumptions!F$194</f>
        <v>0</v>
      </c>
      <c r="G244" s="62" t="n">
        <f aca="false">G22*Engagement_Register!$AD$20*Assumptions!G$194</f>
        <v>0</v>
      </c>
      <c r="H244" s="62" t="n">
        <f aca="false">H22*Engagement_Register!$AD$20*Assumptions!H$194</f>
        <v>0</v>
      </c>
      <c r="I244" s="62" t="n">
        <f aca="false">I22*Engagement_Register!$AD$20*Assumptions!I$194</f>
        <v>0</v>
      </c>
      <c r="J244" s="62" t="n">
        <f aca="false">J22*Engagement_Register!$AD$20*Assumptions!J$194</f>
        <v>0</v>
      </c>
      <c r="K244" s="62" t="n">
        <f aca="false">K22*Engagement_Register!$AD$20*Assumptions!K$194</f>
        <v>61311.39</v>
      </c>
      <c r="L244" s="62" t="n">
        <f aca="false">L22*Engagement_Register!$AD$20*Assumptions!L$194</f>
        <v>49096.32</v>
      </c>
      <c r="M244" s="62" t="n">
        <f aca="false">M22*Engagement_Register!$AD$20*Assumptions!M$194</f>
        <v>64161.421196913</v>
      </c>
      <c r="N244" s="62" t="n">
        <f aca="false">N22*Engagement_Register!$AD$20*Assumptions!N$194</f>
        <v>61809.9554985968</v>
      </c>
      <c r="O244" s="62" t="n">
        <f aca="false">O22*Engagement_Register!$AD$20*Assumptions!O$194</f>
        <v>61138.1081562208</v>
      </c>
      <c r="P244" s="62" t="n">
        <f aca="false">P22*Engagement_Register!$AD$20*Assumptions!P$194</f>
        <v>62817.7265121609</v>
      </c>
      <c r="Q244" s="62" t="n">
        <f aca="false">Q22*Engagement_Register!$AD$20*Assumptions!Q$194</f>
        <v>55897.6988856876</v>
      </c>
      <c r="R244" s="62" t="n">
        <f aca="false">R22*Engagement_Register!$AD$20*Assumptions!R$194</f>
        <v>57644.5019758653</v>
      </c>
      <c r="S244" s="62" t="n">
        <f aca="false">S22*Engagement_Register!$AD$20*Assumptions!S$194</f>
        <v>0</v>
      </c>
      <c r="T244" s="62" t="n">
        <f aca="false">T22*Engagement_Register!$AD$20*Assumptions!T$194</f>
        <v>0</v>
      </c>
      <c r="U244" s="62" t="n">
        <f aca="false">U22*Engagement_Register!$AD$20*Assumptions!U$194</f>
        <v>0</v>
      </c>
      <c r="V244" s="62" t="n">
        <f aca="false">V22*Engagement_Register!$AD$20*Assumptions!V$194</f>
        <v>0</v>
      </c>
      <c r="W244" s="62" t="n">
        <f aca="false">W22*Engagement_Register!$AD$20*Assumptions!W$194</f>
        <v>0</v>
      </c>
      <c r="X244" s="62" t="n">
        <f aca="false">X22*Engagement_Register!$AD$20*Assumptions!X$194</f>
        <v>0</v>
      </c>
      <c r="Y244" s="62" t="n">
        <f aca="false">Y22*Engagement_Register!$AD$20*Assumptions!Y$194</f>
        <v>0</v>
      </c>
      <c r="Z244" s="62" t="n">
        <f aca="false">Z22*Engagement_Register!$AD$20*Assumptions!Z$194</f>
        <v>0</v>
      </c>
      <c r="AA244" s="62" t="n">
        <f aca="false">AA22*Engagement_Register!$AD$20*Assumptions!AA$194</f>
        <v>0</v>
      </c>
      <c r="AB244" s="62" t="n">
        <f aca="false">AB22*Engagement_Register!$AD$20*Assumptions!AB$194</f>
        <v>0</v>
      </c>
    </row>
    <row r="245" customFormat="false" ht="15" hidden="false" customHeight="false" outlineLevel="0" collapsed="false">
      <c r="A245" s="29" t="s">
        <v>835</v>
      </c>
      <c r="B245" s="60" t="s">
        <v>836</v>
      </c>
      <c r="C245" s="61" t="n">
        <f aca="false">SUM(E245:P245)</f>
        <v>335111.476868419</v>
      </c>
      <c r="D245" s="61" t="n">
        <f aca="false">SUM(Q245:AB245)</f>
        <v>105594.246801244</v>
      </c>
      <c r="E245" s="62" t="n">
        <f aca="false">E22*Engagement_Register!$AE$20*Assumptions!E$194</f>
        <v>0</v>
      </c>
      <c r="F245" s="62" t="n">
        <f aca="false">F22*Engagement_Register!$AE$20*Assumptions!F$194</f>
        <v>0</v>
      </c>
      <c r="G245" s="62" t="n">
        <f aca="false">G22*Engagement_Register!$AE$20*Assumptions!G$194</f>
        <v>0</v>
      </c>
      <c r="H245" s="62" t="n">
        <f aca="false">H22*Engagement_Register!$AE$20*Assumptions!H$194</f>
        <v>0</v>
      </c>
      <c r="I245" s="62" t="n">
        <f aca="false">I22*Engagement_Register!$AE$20*Assumptions!I$194</f>
        <v>0</v>
      </c>
      <c r="J245" s="62" t="n">
        <f aca="false">J22*Engagement_Register!$AE$20*Assumptions!J$194</f>
        <v>0</v>
      </c>
      <c r="K245" s="62" t="n">
        <f aca="false">K22*Engagement_Register!$AE$20*Assumptions!K$194</f>
        <v>57019.5927</v>
      </c>
      <c r="L245" s="62" t="n">
        <f aca="false">L22*Engagement_Register!$AE$20*Assumptions!L$194</f>
        <v>45659.5776</v>
      </c>
      <c r="M245" s="62" t="n">
        <f aca="false">M22*Engagement_Register!$AE$20*Assumptions!M$194</f>
        <v>59670.1217131291</v>
      </c>
      <c r="N245" s="62" t="n">
        <f aca="false">N22*Engagement_Register!$AE$20*Assumptions!N$194</f>
        <v>57483.2586136951</v>
      </c>
      <c r="O245" s="62" t="n">
        <f aca="false">O22*Engagement_Register!$AE$20*Assumptions!O$194</f>
        <v>56858.4405852853</v>
      </c>
      <c r="P245" s="62" t="n">
        <f aca="false">P22*Engagement_Register!$AE$20*Assumptions!P$194</f>
        <v>58420.4856563096</v>
      </c>
      <c r="Q245" s="62" t="n">
        <f aca="false">Q22*Engagement_Register!$AE$20*Assumptions!Q$194</f>
        <v>51984.8599636894</v>
      </c>
      <c r="R245" s="62" t="n">
        <f aca="false">R22*Engagement_Register!$AE$20*Assumptions!R$194</f>
        <v>53609.3868375547</v>
      </c>
      <c r="S245" s="62" t="n">
        <f aca="false">S22*Engagement_Register!$AE$20*Assumptions!S$194</f>
        <v>0</v>
      </c>
      <c r="T245" s="62" t="n">
        <f aca="false">T22*Engagement_Register!$AE$20*Assumptions!T$194</f>
        <v>0</v>
      </c>
      <c r="U245" s="62" t="n">
        <f aca="false">U22*Engagement_Register!$AE$20*Assumptions!U$194</f>
        <v>0</v>
      </c>
      <c r="V245" s="62" t="n">
        <f aca="false">V22*Engagement_Register!$AE$20*Assumptions!V$194</f>
        <v>0</v>
      </c>
      <c r="W245" s="62" t="n">
        <f aca="false">W22*Engagement_Register!$AE$20*Assumptions!W$194</f>
        <v>0</v>
      </c>
      <c r="X245" s="62" t="n">
        <f aca="false">X22*Engagement_Register!$AE$20*Assumptions!X$194</f>
        <v>0</v>
      </c>
      <c r="Y245" s="62" t="n">
        <f aca="false">Y22*Engagement_Register!$AE$20*Assumptions!Y$194</f>
        <v>0</v>
      </c>
      <c r="Z245" s="62" t="n">
        <f aca="false">Z22*Engagement_Register!$AE$20*Assumptions!Z$194</f>
        <v>0</v>
      </c>
      <c r="AA245" s="62" t="n">
        <f aca="false">AA22*Engagement_Register!$AE$20*Assumptions!AA$194</f>
        <v>0</v>
      </c>
      <c r="AB245" s="62" t="n">
        <f aca="false">AB22*Engagement_Register!$AE$20*Assumptions!AB$194</f>
        <v>0</v>
      </c>
    </row>
    <row r="246" customFormat="false" ht="15" hidden="false" customHeight="false" outlineLevel="0" collapsed="false">
      <c r="A246" s="29" t="s">
        <v>856</v>
      </c>
      <c r="B246" s="60" t="s">
        <v>857</v>
      </c>
      <c r="C246" s="61" t="n">
        <f aca="false">P246</f>
        <v>335111.476868419</v>
      </c>
      <c r="D246" s="61" t="n">
        <f aca="false">AB246</f>
        <v>440705.723669663</v>
      </c>
      <c r="E246" s="62" t="n">
        <f aca="false">Engagement_Register!$W$20+E245</f>
        <v>0</v>
      </c>
      <c r="F246" s="71" t="n">
        <f aca="false">E246+F245</f>
        <v>0</v>
      </c>
      <c r="G246" s="71" t="n">
        <f aca="false">F246+G245</f>
        <v>0</v>
      </c>
      <c r="H246" s="71" t="n">
        <f aca="false">G246+H245</f>
        <v>0</v>
      </c>
      <c r="I246" s="71" t="n">
        <f aca="false">H246+I245</f>
        <v>0</v>
      </c>
      <c r="J246" s="71" t="n">
        <f aca="false">I246+J245</f>
        <v>0</v>
      </c>
      <c r="K246" s="71" t="n">
        <f aca="false">J246+K245</f>
        <v>57019.5927</v>
      </c>
      <c r="L246" s="71" t="n">
        <f aca="false">K246+L245</f>
        <v>102679.1703</v>
      </c>
      <c r="M246" s="71" t="n">
        <f aca="false">L246+M245</f>
        <v>162349.292013129</v>
      </c>
      <c r="N246" s="71" t="n">
        <f aca="false">M246+N245</f>
        <v>219832.550626824</v>
      </c>
      <c r="O246" s="71" t="n">
        <f aca="false">N246+O245</f>
        <v>276690.991212109</v>
      </c>
      <c r="P246" s="71" t="n">
        <f aca="false">O246+P245</f>
        <v>335111.476868419</v>
      </c>
      <c r="Q246" s="71" t="n">
        <f aca="false">P246+Q245</f>
        <v>387096.336832109</v>
      </c>
      <c r="R246" s="71" t="n">
        <f aca="false">Q246+R245</f>
        <v>440705.723669663</v>
      </c>
      <c r="S246" s="71" t="n">
        <f aca="false">R246+S245</f>
        <v>440705.723669663</v>
      </c>
      <c r="T246" s="71" t="n">
        <f aca="false">S246+T245</f>
        <v>440705.723669663</v>
      </c>
      <c r="U246" s="71" t="n">
        <f aca="false">T246+U245</f>
        <v>440705.723669663</v>
      </c>
      <c r="V246" s="71" t="n">
        <f aca="false">U246+V245</f>
        <v>440705.723669663</v>
      </c>
      <c r="W246" s="71" t="n">
        <f aca="false">V246+W245</f>
        <v>440705.723669663</v>
      </c>
      <c r="X246" s="71" t="n">
        <f aca="false">W246+X245</f>
        <v>440705.723669663</v>
      </c>
      <c r="Y246" s="71" t="n">
        <f aca="false">X246+Y245</f>
        <v>440705.723669663</v>
      </c>
      <c r="Z246" s="71" t="n">
        <f aca="false">Y246+Z245</f>
        <v>440705.723669663</v>
      </c>
      <c r="AA246" s="71" t="n">
        <f aca="false">Z246+AA245</f>
        <v>440705.723669663</v>
      </c>
      <c r="AB246" s="71" t="n">
        <f aca="false">AA246+AB245</f>
        <v>440705.723669663</v>
      </c>
    </row>
    <row r="247" customFormat="false" ht="15" hidden="false" customHeight="false" outlineLevel="0" collapsed="false">
      <c r="A247" s="29" t="s">
        <v>742</v>
      </c>
      <c r="B247" s="60" t="s">
        <v>858</v>
      </c>
      <c r="C247" s="61" t="n">
        <f aca="false">P247</f>
        <v>330012.094311279</v>
      </c>
      <c r="D247" s="61" t="n">
        <f aca="false">AB247</f>
        <v>430000</v>
      </c>
      <c r="E247" s="62" t="n">
        <f aca="false">IF(E$5="A",Engagement_Register!$U$20+Inputs_Actuals!E83,IF(Engagement_Register!$AQ$20&gt;Engagement_Register!$AP$20,Engagement_Register!$AP$20*E243,E246))</f>
        <v>0</v>
      </c>
      <c r="F247" s="62" t="n">
        <f aca="false">IF(F$5="A",E247+Inputs_Actuals!F83,IF(Engagement_Register!$AQ$20&gt;Engagement_Register!$AP$20,Engagement_Register!$AP$20*F243,F246))</f>
        <v>0</v>
      </c>
      <c r="G247" s="62" t="n">
        <f aca="false">IF(G$5="A",F247+Inputs_Actuals!G83,IF(Engagement_Register!$AQ$20&gt;Engagement_Register!$AP$20,Engagement_Register!$AP$20*G243,G246))</f>
        <v>0</v>
      </c>
      <c r="H247" s="62" t="n">
        <f aca="false">IF(H$5="A",G247+Inputs_Actuals!H83,IF(Engagement_Register!$AQ$20&gt;Engagement_Register!$AP$20,Engagement_Register!$AP$20*H243,H246))</f>
        <v>0</v>
      </c>
      <c r="I247" s="62" t="n">
        <f aca="false">IF(I$5="A",H247+Inputs_Actuals!I83,IF(Engagement_Register!$AQ$20&gt;Engagement_Register!$AP$20,Engagement_Register!$AP$20*I243,I246))</f>
        <v>0</v>
      </c>
      <c r="J247" s="62" t="n">
        <f aca="false">IF(J$5="A",I247+Inputs_Actuals!J83,IF(Engagement_Register!$AQ$20&gt;Engagement_Register!$AP$20,Engagement_Register!$AP$20*J243,J246))</f>
        <v>0</v>
      </c>
      <c r="K247" s="62" t="n">
        <f aca="false">IF(K$5="A",J247+Inputs_Actuals!K83,IF(Engagement_Register!$AQ$20&gt;Engagement_Register!$AP$20,Engagement_Register!$AP$20*K243,K246))</f>
        <v>57019.59</v>
      </c>
      <c r="L247" s="62" t="n">
        <f aca="false">IF(L$5="A",K247+Inputs_Actuals!L83,IF(Engagement_Register!$AQ$20&gt;Engagement_Register!$AP$20,Engagement_Register!$AP$20*L243,L246))</f>
        <v>102679.17</v>
      </c>
      <c r="M247" s="62" t="n">
        <f aca="false">IF(M$5="A",L247+Inputs_Actuals!M83,IF(Engagement_Register!$AQ$20&gt;Engagement_Register!$AP$20,Engagement_Register!$AP$20*M243,M246))</f>
        <v>159878.82709324</v>
      </c>
      <c r="N247" s="62" t="n">
        <f aca="false">IF(N$5="A",M247+Inputs_Actuals!N83,IF(Engagement_Register!$AQ$20&gt;Engagement_Register!$AP$20,Engagement_Register!$AP$20*N243,N246))</f>
        <v>216487.364467777</v>
      </c>
      <c r="O247" s="62" t="n">
        <f aca="false">IF(O$5="A",N247+Inputs_Actuals!O83,IF(Engagement_Register!$AQ$20&gt;Engagement_Register!$AP$20,Engagement_Register!$AP$20*O243,O246))</f>
        <v>272480.591653461</v>
      </c>
      <c r="P247" s="62" t="n">
        <f aca="false">IF(P$5="A",O247+Inputs_Actuals!P83,IF(Engagement_Register!$AQ$20&gt;Engagement_Register!$AP$20,Engagement_Register!$AP$20*P243,P246))</f>
        <v>330012.094311279</v>
      </c>
      <c r="Q247" s="62" t="n">
        <f aca="false">IF(Q$5="A",P247+Inputs_Actuals!Q83,IF(Engagement_Register!$AQ$20&gt;Engagement_Register!$AP$20,Engagement_Register!$AP$20*Q243,Q246))</f>
        <v>379236.909419572</v>
      </c>
      <c r="R247" s="62" t="n">
        <f aca="false">IF(R$5="A",Q247+Inputs_Actuals!R83,IF(Engagement_Register!$AQ$20&gt;Engagement_Register!$AP$20,Engagement_Register!$AP$20*R243,R246))</f>
        <v>430000</v>
      </c>
      <c r="S247" s="62" t="n">
        <f aca="false">IF(S$5="A",R247+Inputs_Actuals!S83,IF(Engagement_Register!$AQ$20&gt;Engagement_Register!$AP$20,Engagement_Register!$AP$20*S243,S246))</f>
        <v>430000</v>
      </c>
      <c r="T247" s="62" t="n">
        <f aca="false">IF(T$5="A",S247+Inputs_Actuals!T83,IF(Engagement_Register!$AQ$20&gt;Engagement_Register!$AP$20,Engagement_Register!$AP$20*T243,T246))</f>
        <v>430000</v>
      </c>
      <c r="U247" s="62" t="n">
        <f aca="false">IF(U$5="A",T247+Inputs_Actuals!U83,IF(Engagement_Register!$AQ$20&gt;Engagement_Register!$AP$20,Engagement_Register!$AP$20*U243,U246))</f>
        <v>430000</v>
      </c>
      <c r="V247" s="62" t="n">
        <f aca="false">IF(V$5="A",U247+Inputs_Actuals!V83,IF(Engagement_Register!$AQ$20&gt;Engagement_Register!$AP$20,Engagement_Register!$AP$20*V243,V246))</f>
        <v>430000</v>
      </c>
      <c r="W247" s="62" t="n">
        <f aca="false">IF(W$5="A",V247+Inputs_Actuals!W83,IF(Engagement_Register!$AQ$20&gt;Engagement_Register!$AP$20,Engagement_Register!$AP$20*W243,W246))</f>
        <v>430000</v>
      </c>
      <c r="X247" s="62" t="n">
        <f aca="false">IF(X$5="A",W247+Inputs_Actuals!X83,IF(Engagement_Register!$AQ$20&gt;Engagement_Register!$AP$20,Engagement_Register!$AP$20*X243,X246))</f>
        <v>430000</v>
      </c>
      <c r="Y247" s="62" t="n">
        <f aca="false">IF(Y$5="A",X247+Inputs_Actuals!Y83,IF(Engagement_Register!$AQ$20&gt;Engagement_Register!$AP$20,Engagement_Register!$AP$20*Y243,Y246))</f>
        <v>430000</v>
      </c>
      <c r="Z247" s="62" t="n">
        <f aca="false">IF(Z$5="A",Y247+Inputs_Actuals!Z83,IF(Engagement_Register!$AQ$20&gt;Engagement_Register!$AP$20,Engagement_Register!$AP$20*Z243,Z246))</f>
        <v>430000</v>
      </c>
      <c r="AA247" s="62" t="n">
        <f aca="false">IF(AA$5="A",Z247+Inputs_Actuals!AA83,IF(Engagement_Register!$AQ$20&gt;Engagement_Register!$AP$20,Engagement_Register!$AP$20*AA243,AA246))</f>
        <v>430000</v>
      </c>
      <c r="AB247" s="62" t="n">
        <f aca="false">IF(AB$5="A",AA247+Inputs_Actuals!AB83,IF(Engagement_Register!$AQ$20&gt;Engagement_Register!$AP$20,Engagement_Register!$AP$20*AB243,AB246))</f>
        <v>430000</v>
      </c>
    </row>
    <row r="248" customFormat="false" ht="15" hidden="false" customHeight="false" outlineLevel="0" collapsed="false">
      <c r="A248" s="68" t="s">
        <v>349</v>
      </c>
      <c r="B248" s="69" t="s">
        <v>859</v>
      </c>
      <c r="C248" s="70" t="n">
        <f aca="false">SUM(E248:P248)</f>
        <v>330012.094311279</v>
      </c>
      <c r="D248" s="70" t="n">
        <f aca="false">SUM(Q248:AB248)</f>
        <v>99987.9056887212</v>
      </c>
      <c r="E248" s="74" t="n">
        <f aca="false">E247-Engagement_Register!$U$20</f>
        <v>0</v>
      </c>
      <c r="F248" s="70" t="n">
        <f aca="false">F247-E247</f>
        <v>0</v>
      </c>
      <c r="G248" s="70" t="n">
        <f aca="false">G247-F247</f>
        <v>0</v>
      </c>
      <c r="H248" s="70" t="n">
        <f aca="false">H247-G247</f>
        <v>0</v>
      </c>
      <c r="I248" s="70" t="n">
        <f aca="false">I247-H247</f>
        <v>0</v>
      </c>
      <c r="J248" s="70" t="n">
        <f aca="false">J247-I247</f>
        <v>0</v>
      </c>
      <c r="K248" s="70" t="n">
        <f aca="false">K247-J247</f>
        <v>57019.59</v>
      </c>
      <c r="L248" s="70" t="n">
        <f aca="false">L247-K247</f>
        <v>45659.58</v>
      </c>
      <c r="M248" s="70" t="n">
        <f aca="false">M247-L247</f>
        <v>57199.6570932395</v>
      </c>
      <c r="N248" s="70" t="n">
        <f aca="false">N247-M247</f>
        <v>56608.5373745375</v>
      </c>
      <c r="O248" s="70" t="n">
        <f aca="false">O247-N247</f>
        <v>55993.2271856839</v>
      </c>
      <c r="P248" s="70" t="n">
        <f aca="false">P247-O247</f>
        <v>57531.502657818</v>
      </c>
      <c r="Q248" s="70" t="n">
        <f aca="false">Q247-P247</f>
        <v>49224.8151082935</v>
      </c>
      <c r="R248" s="70" t="n">
        <f aca="false">R247-Q247</f>
        <v>50763.0905804277</v>
      </c>
      <c r="S248" s="70" t="n">
        <f aca="false">S247-R247</f>
        <v>0</v>
      </c>
      <c r="T248" s="70" t="n">
        <f aca="false">T247-S247</f>
        <v>0</v>
      </c>
      <c r="U248" s="70" t="n">
        <f aca="false">U247-T247</f>
        <v>0</v>
      </c>
      <c r="V248" s="70" t="n">
        <f aca="false">V247-U247</f>
        <v>0</v>
      </c>
      <c r="W248" s="70" t="n">
        <f aca="false">W247-V247</f>
        <v>0</v>
      </c>
      <c r="X248" s="70" t="n">
        <f aca="false">X247-W247</f>
        <v>0</v>
      </c>
      <c r="Y248" s="70" t="n">
        <f aca="false">Y247-X247</f>
        <v>0</v>
      </c>
      <c r="Z248" s="70" t="n">
        <f aca="false">Z247-Y247</f>
        <v>0</v>
      </c>
      <c r="AA248" s="70" t="n">
        <f aca="false">AA247-Z247</f>
        <v>0</v>
      </c>
      <c r="AB248" s="70" t="n">
        <f aca="false">AB247-AA247</f>
        <v>0</v>
      </c>
    </row>
    <row r="249" customFormat="false" ht="15" hidden="false" customHeight="false" outlineLevel="0" collapsed="false">
      <c r="A249" s="29" t="s">
        <v>838</v>
      </c>
      <c r="B249" s="60" t="s">
        <v>860</v>
      </c>
      <c r="C249" s="61" t="n">
        <f aca="false">SUM(E249:P249)</f>
        <v>276690.98851211</v>
      </c>
      <c r="D249" s="61" t="n">
        <f aca="false">SUM(Q249:AB249)</f>
        <v>153309.01148789</v>
      </c>
      <c r="E249" s="62" t="n">
        <f aca="false">IF(E$5="A",Inputs_Actuals!E84,MAX(0,MIN(0,Engagement_Register!$AP$20-Engagement_Register!$V$20)))</f>
        <v>0</v>
      </c>
      <c r="F249" s="62" t="n">
        <f aca="false">IF(F$5="A",Inputs_Actuals!F84,MAX(0,MIN(E245,Engagement_Register!$AP$20-E250)))</f>
        <v>0</v>
      </c>
      <c r="G249" s="62" t="n">
        <f aca="false">IF(G$5="A",Inputs_Actuals!G84,MAX(0,MIN(F245,Engagement_Register!$AP$20-F250)))</f>
        <v>0</v>
      </c>
      <c r="H249" s="62" t="n">
        <f aca="false">IF(H$5="A",Inputs_Actuals!H84,MAX(0,MIN(G245,Engagement_Register!$AP$20-G250)))</f>
        <v>0</v>
      </c>
      <c r="I249" s="62" t="n">
        <f aca="false">IF(I$5="A",Inputs_Actuals!I84,MAX(0,MIN(H245,Engagement_Register!$AP$20-H250)))</f>
        <v>0</v>
      </c>
      <c r="J249" s="62" t="n">
        <f aca="false">IF(J$5="A",Inputs_Actuals!J84,MAX(0,MIN(I245,Engagement_Register!$AP$20-I250)))</f>
        <v>0</v>
      </c>
      <c r="K249" s="62" t="n">
        <f aca="false">IF(K$5="A",Inputs_Actuals!K84,MAX(0,MIN(J245,Engagement_Register!$AP$20-J250)))</f>
        <v>0</v>
      </c>
      <c r="L249" s="62" t="n">
        <f aca="false">IF(L$5="A",Inputs_Actuals!L84,MAX(0,MIN(K245,Engagement_Register!$AP$20-K250)))</f>
        <v>57019.59</v>
      </c>
      <c r="M249" s="62" t="n">
        <f aca="false">IF(M$5="A",Inputs_Actuals!M84,MAX(0,MIN(L245,Engagement_Register!$AP$20-L250)))</f>
        <v>45659.5776</v>
      </c>
      <c r="N249" s="62" t="n">
        <f aca="false">IF(N$5="A",Inputs_Actuals!N84,MAX(0,MIN(M245,Engagement_Register!$AP$20-M250)))</f>
        <v>59670.1217131291</v>
      </c>
      <c r="O249" s="62" t="n">
        <f aca="false">IF(O$5="A",Inputs_Actuals!O84,MAX(0,MIN(N245,Engagement_Register!$AP$20-N250)))</f>
        <v>57483.2586136951</v>
      </c>
      <c r="P249" s="62" t="n">
        <f aca="false">IF(P$5="A",Inputs_Actuals!P84,MAX(0,MIN(O245,Engagement_Register!$AP$20-O250)))</f>
        <v>56858.4405852853</v>
      </c>
      <c r="Q249" s="62" t="n">
        <f aca="false">IF(Q$5="A",Inputs_Actuals!Q84,MAX(0,MIN(P245,Engagement_Register!$AP$20-P250)))</f>
        <v>58420.4856563096</v>
      </c>
      <c r="R249" s="62" t="n">
        <f aca="false">IF(R$5="A",Inputs_Actuals!R84,MAX(0,MIN(Q245,Engagement_Register!$AP$20-Q250)))</f>
        <v>51984.8599636894</v>
      </c>
      <c r="S249" s="62" t="n">
        <f aca="false">IF(S$5="A",Inputs_Actuals!S84,MAX(0,MIN(R245,Engagement_Register!$AP$20-R250)))</f>
        <v>42903.6658678914</v>
      </c>
      <c r="T249" s="62" t="n">
        <f aca="false">IF(T$5="A",Inputs_Actuals!T84,MAX(0,MIN(S245,Engagement_Register!$AP$20-S250)))</f>
        <v>0</v>
      </c>
      <c r="U249" s="62" t="n">
        <f aca="false">IF(U$5="A",Inputs_Actuals!U84,MAX(0,MIN(T245,Engagement_Register!$AP$20-T250)))</f>
        <v>0</v>
      </c>
      <c r="V249" s="62" t="n">
        <f aca="false">IF(V$5="A",Inputs_Actuals!V84,MAX(0,MIN(U245,Engagement_Register!$AP$20-U250)))</f>
        <v>0</v>
      </c>
      <c r="W249" s="62" t="n">
        <f aca="false">IF(W$5="A",Inputs_Actuals!W84,MAX(0,MIN(V245,Engagement_Register!$AP$20-V250)))</f>
        <v>0</v>
      </c>
      <c r="X249" s="62" t="n">
        <f aca="false">IF(X$5="A",Inputs_Actuals!X84,MAX(0,MIN(W245,Engagement_Register!$AP$20-W250)))</f>
        <v>0</v>
      </c>
      <c r="Y249" s="62" t="n">
        <f aca="false">IF(Y$5="A",Inputs_Actuals!Y84,MAX(0,MIN(X245,Engagement_Register!$AP$20-X250)))</f>
        <v>0</v>
      </c>
      <c r="Z249" s="62" t="n">
        <f aca="false">IF(Z$5="A",Inputs_Actuals!Z84,MAX(0,MIN(Y245,Engagement_Register!$AP$20-Y250)))</f>
        <v>0</v>
      </c>
      <c r="AA249" s="62" t="n">
        <f aca="false">IF(AA$5="A",Inputs_Actuals!AA84,MAX(0,MIN(Z245,Engagement_Register!$AP$20-Z250)))</f>
        <v>0</v>
      </c>
      <c r="AB249" s="62" t="n">
        <f aca="false">IF(AB$5="A",Inputs_Actuals!AB84,MAX(0,MIN(AA245,Engagement_Register!$AP$20-AA250)))</f>
        <v>0</v>
      </c>
    </row>
    <row r="250" customFormat="false" ht="15" hidden="false" customHeight="false" outlineLevel="0" collapsed="false">
      <c r="A250" s="29" t="s">
        <v>840</v>
      </c>
      <c r="B250" s="60"/>
      <c r="C250" s="61" t="n">
        <f aca="false">P250</f>
        <v>276690.98851211</v>
      </c>
      <c r="D250" s="61" t="n">
        <f aca="false">AB250</f>
        <v>430000</v>
      </c>
      <c r="E250" s="62" t="n">
        <f aca="false">Engagement_Register!$V$20+E249</f>
        <v>0</v>
      </c>
      <c r="F250" s="71" t="n">
        <f aca="false">E250+F249</f>
        <v>0</v>
      </c>
      <c r="G250" s="71" t="n">
        <f aca="false">F250+G249</f>
        <v>0</v>
      </c>
      <c r="H250" s="71" t="n">
        <f aca="false">G250+H249</f>
        <v>0</v>
      </c>
      <c r="I250" s="71" t="n">
        <f aca="false">H250+I249</f>
        <v>0</v>
      </c>
      <c r="J250" s="71" t="n">
        <f aca="false">I250+J249</f>
        <v>0</v>
      </c>
      <c r="K250" s="71" t="n">
        <f aca="false">J250+K249</f>
        <v>0</v>
      </c>
      <c r="L250" s="71" t="n">
        <f aca="false">K250+L249</f>
        <v>57019.59</v>
      </c>
      <c r="M250" s="71" t="n">
        <f aca="false">L250+M249</f>
        <v>102679.1676</v>
      </c>
      <c r="N250" s="71" t="n">
        <f aca="false">M250+N249</f>
        <v>162349.289313129</v>
      </c>
      <c r="O250" s="71" t="n">
        <f aca="false">N250+O249</f>
        <v>219832.547926824</v>
      </c>
      <c r="P250" s="71" t="n">
        <f aca="false">O250+P249</f>
        <v>276690.98851211</v>
      </c>
      <c r="Q250" s="71" t="n">
        <f aca="false">P250+Q249</f>
        <v>335111.474168419</v>
      </c>
      <c r="R250" s="71" t="n">
        <f aca="false">Q250+R249</f>
        <v>387096.334132109</v>
      </c>
      <c r="S250" s="71" t="n">
        <f aca="false">R250+S249</f>
        <v>430000</v>
      </c>
      <c r="T250" s="71" t="n">
        <f aca="false">S250+T249</f>
        <v>430000</v>
      </c>
      <c r="U250" s="71" t="n">
        <f aca="false">T250+U249</f>
        <v>430000</v>
      </c>
      <c r="V250" s="71" t="n">
        <f aca="false">U250+V249</f>
        <v>430000</v>
      </c>
      <c r="W250" s="71" t="n">
        <f aca="false">V250+W249</f>
        <v>430000</v>
      </c>
      <c r="X250" s="71" t="n">
        <f aca="false">W250+X249</f>
        <v>430000</v>
      </c>
      <c r="Y250" s="71" t="n">
        <f aca="false">X250+Y249</f>
        <v>430000</v>
      </c>
      <c r="Z250" s="71" t="n">
        <f aca="false">Y250+Z249</f>
        <v>430000</v>
      </c>
      <c r="AA250" s="71" t="n">
        <f aca="false">Z250+AA249</f>
        <v>430000</v>
      </c>
      <c r="AB250" s="71" t="n">
        <f aca="false">AA250+AB249</f>
        <v>430000</v>
      </c>
    </row>
    <row r="251" customFormat="false" ht="15" hidden="false" customHeight="false" outlineLevel="0" collapsed="false">
      <c r="A251" s="29" t="s">
        <v>841</v>
      </c>
      <c r="B251" s="60" t="s">
        <v>842</v>
      </c>
      <c r="C251" s="61" t="n">
        <f aca="false">SUM(E251:P251)</f>
        <v>18172.1497287184</v>
      </c>
      <c r="D251" s="61" t="n">
        <f aca="false">SUM(Q251:AB251)</f>
        <v>5716.85047942002</v>
      </c>
      <c r="E251" s="62" t="n">
        <f aca="false">IF(E$5="A",Inputs_Actuals!E85,E22*Engagement_Register!$N$20*Assumptions!E$195)</f>
        <v>0</v>
      </c>
      <c r="F251" s="62" t="n">
        <f aca="false">IF(F$5="A",Inputs_Actuals!F85,F22*Engagement_Register!$N$20*Assumptions!F$195)</f>
        <v>0</v>
      </c>
      <c r="G251" s="62" t="n">
        <f aca="false">IF(G$5="A",Inputs_Actuals!G85,G22*Engagement_Register!$N$20*Assumptions!G$195)</f>
        <v>0</v>
      </c>
      <c r="H251" s="62" t="n">
        <f aca="false">IF(H$5="A",Inputs_Actuals!H85,H22*Engagement_Register!$N$20*Assumptions!H$195)</f>
        <v>0</v>
      </c>
      <c r="I251" s="62" t="n">
        <f aca="false">IF(I$5="A",Inputs_Actuals!I85,I22*Engagement_Register!$N$20*Assumptions!I$195)</f>
        <v>0</v>
      </c>
      <c r="J251" s="62" t="n">
        <f aca="false">IF(J$5="A",Inputs_Actuals!J85,J22*Engagement_Register!$N$20*Assumptions!J$195)</f>
        <v>0</v>
      </c>
      <c r="K251" s="62" t="n">
        <f aca="false">IF(K$5="A",Inputs_Actuals!K85,K22*Engagement_Register!$N$20*Assumptions!K$195)</f>
        <v>3099.03</v>
      </c>
      <c r="L251" s="62" t="n">
        <f aca="false">IF(L$5="A",Inputs_Actuals!L85,L22*Engagement_Register!$N$20*Assumptions!L$195)</f>
        <v>2367.11</v>
      </c>
      <c r="M251" s="62" t="n">
        <f aca="false">IF(M$5="A",Inputs_Actuals!M85,M22*Engagement_Register!$N$20*Assumptions!M$195)</f>
        <v>3261.89228250702</v>
      </c>
      <c r="N251" s="62" t="n">
        <f aca="false">IF(N$5="A",Inputs_Actuals!N85,N22*Engagement_Register!$N$20*Assumptions!N$195)</f>
        <v>3142.34649204864</v>
      </c>
      <c r="O251" s="62" t="n">
        <f aca="false">IF(O$5="A",Inputs_Actuals!O85,O22*Engagement_Register!$N$20*Assumptions!O$195)</f>
        <v>3108.19055191768</v>
      </c>
      <c r="P251" s="62" t="n">
        <f aca="false">IF(P$5="A",Inputs_Actuals!P85,P22*Engagement_Register!$N$20*Assumptions!P$195)</f>
        <v>3193.58040224509</v>
      </c>
      <c r="Q251" s="62" t="n">
        <f aca="false">IF(Q$5="A",Inputs_Actuals!Q85,Q22*Engagement_Register!$N$20*Assumptions!Q$195)</f>
        <v>2814.44946679139</v>
      </c>
      <c r="R251" s="62" t="n">
        <f aca="false">IF(R$5="A",Inputs_Actuals!R85,R22*Engagement_Register!$N$20*Assumptions!R$195)</f>
        <v>2902.40101262863</v>
      </c>
      <c r="S251" s="62" t="n">
        <f aca="false">IF(S$5="A",Inputs_Actuals!S85,S22*Engagement_Register!$N$20*Assumptions!S$195)</f>
        <v>0</v>
      </c>
      <c r="T251" s="62" t="n">
        <f aca="false">IF(T$5="A",Inputs_Actuals!T85,T22*Engagement_Register!$N$20*Assumptions!T$195)</f>
        <v>0</v>
      </c>
      <c r="U251" s="62" t="n">
        <f aca="false">IF(U$5="A",Inputs_Actuals!U85,U22*Engagement_Register!$N$20*Assumptions!U$195)</f>
        <v>0</v>
      </c>
      <c r="V251" s="62" t="n">
        <f aca="false">IF(V$5="A",Inputs_Actuals!V85,V22*Engagement_Register!$N$20*Assumptions!V$195)</f>
        <v>0</v>
      </c>
      <c r="W251" s="62" t="n">
        <f aca="false">IF(W$5="A",Inputs_Actuals!W85,W22*Engagement_Register!$N$20*Assumptions!W$195)</f>
        <v>0</v>
      </c>
      <c r="X251" s="62" t="n">
        <f aca="false">IF(X$5="A",Inputs_Actuals!X85,X22*Engagement_Register!$N$20*Assumptions!X$195)</f>
        <v>0</v>
      </c>
      <c r="Y251" s="62" t="n">
        <f aca="false">IF(Y$5="A",Inputs_Actuals!Y85,Y22*Engagement_Register!$N$20*Assumptions!Y$195)</f>
        <v>0</v>
      </c>
      <c r="Z251" s="62" t="n">
        <f aca="false">IF(Z$5="A",Inputs_Actuals!Z85,Z22*Engagement_Register!$N$20*Assumptions!Z$195)</f>
        <v>0</v>
      </c>
      <c r="AA251" s="62" t="n">
        <f aca="false">IF(AA$5="A",Inputs_Actuals!AA85,AA22*Engagement_Register!$N$20*Assumptions!AA$195)</f>
        <v>0</v>
      </c>
      <c r="AB251" s="62" t="n">
        <f aca="false">IF(AB$5="A",Inputs_Actuals!AB85,AB22*Engagement_Register!$N$20*Assumptions!AB$195)</f>
        <v>0</v>
      </c>
    </row>
    <row r="252" customFormat="false" ht="15" hidden="false" customHeight="false" outlineLevel="0" collapsed="false">
      <c r="A252" s="29" t="s">
        <v>843</v>
      </c>
      <c r="B252" s="60" t="s">
        <v>844</v>
      </c>
      <c r="C252" s="61" t="n">
        <f aca="false">SUM(E252:P252)</f>
        <v>18172.1497287184</v>
      </c>
      <c r="D252" s="61" t="n">
        <f aca="false">SUM(Q252:AB252)</f>
        <v>5716.85047942002</v>
      </c>
      <c r="E252" s="71" t="n">
        <f aca="false">E251</f>
        <v>0</v>
      </c>
      <c r="F252" s="71" t="n">
        <f aca="false">F251</f>
        <v>0</v>
      </c>
      <c r="G252" s="71" t="n">
        <f aca="false">G251</f>
        <v>0</v>
      </c>
      <c r="H252" s="71" t="n">
        <f aca="false">H251</f>
        <v>0</v>
      </c>
      <c r="I252" s="71" t="n">
        <f aca="false">I251</f>
        <v>0</v>
      </c>
      <c r="J252" s="71" t="n">
        <f aca="false">J251</f>
        <v>0</v>
      </c>
      <c r="K252" s="71" t="n">
        <f aca="false">K251</f>
        <v>3099.03</v>
      </c>
      <c r="L252" s="71" t="n">
        <f aca="false">L251</f>
        <v>2367.11</v>
      </c>
      <c r="M252" s="71" t="n">
        <f aca="false">M251</f>
        <v>3261.89228250702</v>
      </c>
      <c r="N252" s="71" t="n">
        <f aca="false">N251</f>
        <v>3142.34649204864</v>
      </c>
      <c r="O252" s="71" t="n">
        <f aca="false">O251</f>
        <v>3108.19055191768</v>
      </c>
      <c r="P252" s="71" t="n">
        <f aca="false">P251</f>
        <v>3193.58040224509</v>
      </c>
      <c r="Q252" s="71" t="n">
        <f aca="false">Q251</f>
        <v>2814.44946679139</v>
      </c>
      <c r="R252" s="71" t="n">
        <f aca="false">R251</f>
        <v>2902.40101262863</v>
      </c>
      <c r="S252" s="71" t="n">
        <f aca="false">S251</f>
        <v>0</v>
      </c>
      <c r="T252" s="71" t="n">
        <f aca="false">T251</f>
        <v>0</v>
      </c>
      <c r="U252" s="71" t="n">
        <f aca="false">U251</f>
        <v>0</v>
      </c>
      <c r="V252" s="71" t="n">
        <f aca="false">V251</f>
        <v>0</v>
      </c>
      <c r="W252" s="71" t="n">
        <f aca="false">W251</f>
        <v>0</v>
      </c>
      <c r="X252" s="71" t="n">
        <f aca="false">X251</f>
        <v>0</v>
      </c>
      <c r="Y252" s="71" t="n">
        <f aca="false">Y251</f>
        <v>0</v>
      </c>
      <c r="Z252" s="71" t="n">
        <f aca="false">Z251</f>
        <v>0</v>
      </c>
      <c r="AA252" s="71" t="n">
        <f aca="false">AA251</f>
        <v>0</v>
      </c>
      <c r="AB252" s="71" t="n">
        <f aca="false">AB251</f>
        <v>0</v>
      </c>
    </row>
    <row r="253" customFormat="false" ht="15" hidden="false" customHeight="false" outlineLevel="0" collapsed="false">
      <c r="A253" s="29" t="s">
        <v>845</v>
      </c>
      <c r="B253" s="60" t="s">
        <v>846</v>
      </c>
      <c r="C253" s="61" t="n">
        <f aca="false">SUM(E253:P253)</f>
        <v>14978.5693264733</v>
      </c>
      <c r="D253" s="61" t="n">
        <f aca="false">SUM(Q253:AB253)</f>
        <v>8910.43088166511</v>
      </c>
      <c r="E253" s="62" t="n">
        <f aca="false">IF(E$5="A",Inputs_Actuals!E86,0)</f>
        <v>0</v>
      </c>
      <c r="F253" s="62" t="n">
        <f aca="false">IF(F$5="A",Inputs_Actuals!F86,E252)</f>
        <v>0</v>
      </c>
      <c r="G253" s="62" t="n">
        <f aca="false">IF(G$5="A",Inputs_Actuals!G86,F252)</f>
        <v>0</v>
      </c>
      <c r="H253" s="62" t="n">
        <f aca="false">IF(H$5="A",Inputs_Actuals!H86,G252)</f>
        <v>0</v>
      </c>
      <c r="I253" s="62" t="n">
        <f aca="false">IF(I$5="A",Inputs_Actuals!I86,H252)</f>
        <v>0</v>
      </c>
      <c r="J253" s="62" t="n">
        <f aca="false">IF(J$5="A",Inputs_Actuals!J86,I252)</f>
        <v>0</v>
      </c>
      <c r="K253" s="62" t="n">
        <f aca="false">IF(K$5="A",Inputs_Actuals!K86,J252)</f>
        <v>0</v>
      </c>
      <c r="L253" s="62" t="n">
        <f aca="false">IF(L$5="A",Inputs_Actuals!L86,K252)</f>
        <v>3099.03</v>
      </c>
      <c r="M253" s="62" t="n">
        <f aca="false">IF(M$5="A",Inputs_Actuals!M86,L252)</f>
        <v>2367.11</v>
      </c>
      <c r="N253" s="62" t="n">
        <f aca="false">IF(N$5="A",Inputs_Actuals!N86,M252)</f>
        <v>3261.89228250702</v>
      </c>
      <c r="O253" s="62" t="n">
        <f aca="false">IF(O$5="A",Inputs_Actuals!O86,N252)</f>
        <v>3142.34649204864</v>
      </c>
      <c r="P253" s="62" t="n">
        <f aca="false">IF(P$5="A",Inputs_Actuals!P86,O252)</f>
        <v>3108.19055191768</v>
      </c>
      <c r="Q253" s="62" t="n">
        <f aca="false">IF(Q$5="A",Inputs_Actuals!Q86,P252)</f>
        <v>3193.58040224509</v>
      </c>
      <c r="R253" s="62" t="n">
        <f aca="false">IF(R$5="A",Inputs_Actuals!R86,Q252)</f>
        <v>2814.44946679139</v>
      </c>
      <c r="S253" s="62" t="n">
        <f aca="false">IF(S$5="A",Inputs_Actuals!S86,R252)</f>
        <v>2902.40101262863</v>
      </c>
      <c r="T253" s="62" t="n">
        <f aca="false">IF(T$5="A",Inputs_Actuals!T86,S252)</f>
        <v>0</v>
      </c>
      <c r="U253" s="62" t="n">
        <f aca="false">IF(U$5="A",Inputs_Actuals!U86,T252)</f>
        <v>0</v>
      </c>
      <c r="V253" s="62" t="n">
        <f aca="false">IF(V$5="A",Inputs_Actuals!V86,U252)</f>
        <v>0</v>
      </c>
      <c r="W253" s="62" t="n">
        <f aca="false">IF(W$5="A",Inputs_Actuals!W86,V252)</f>
        <v>0</v>
      </c>
      <c r="X253" s="62" t="n">
        <f aca="false">IF(X$5="A",Inputs_Actuals!X86,W252)</f>
        <v>0</v>
      </c>
      <c r="Y253" s="62" t="n">
        <f aca="false">IF(Y$5="A",Inputs_Actuals!Y86,X252)</f>
        <v>0</v>
      </c>
      <c r="Z253" s="62" t="n">
        <f aca="false">IF(Z$5="A",Inputs_Actuals!Z86,Y252)</f>
        <v>0</v>
      </c>
      <c r="AA253" s="62" t="n">
        <f aca="false">IF(AA$5="A",Inputs_Actuals!AA86,Z252)</f>
        <v>0</v>
      </c>
      <c r="AB253" s="62" t="n">
        <f aca="false">IF(AB$5="A",Inputs_Actuals!AB86,AA252)</f>
        <v>0</v>
      </c>
    </row>
    <row r="254" customFormat="false" ht="15" hidden="false" customHeight="false" outlineLevel="0" collapsed="false">
      <c r="A254" s="29" t="s">
        <v>847</v>
      </c>
      <c r="B254" s="60" t="s">
        <v>848</v>
      </c>
      <c r="C254" s="61" t="n">
        <f aca="false">P254</f>
        <v>56514.6862014144</v>
      </c>
      <c r="D254" s="61" t="n">
        <f aca="false">AB254</f>
        <v>0</v>
      </c>
      <c r="E254" s="62" t="n">
        <f aca="false">Engagement_Register!$X$20+E248+E252-E253-E249</f>
        <v>0</v>
      </c>
      <c r="F254" s="71" t="n">
        <f aca="false">E254+F248+F252-F253-F249</f>
        <v>0</v>
      </c>
      <c r="G254" s="71" t="n">
        <f aca="false">F254+G248+G252-G253-G249</f>
        <v>0</v>
      </c>
      <c r="H254" s="71" t="n">
        <f aca="false">G254+H248+H252-H253-H249</f>
        <v>0</v>
      </c>
      <c r="I254" s="71" t="n">
        <f aca="false">H254+I248+I252-I253-I249</f>
        <v>0</v>
      </c>
      <c r="J254" s="71" t="n">
        <f aca="false">I254+J248+J252-J253-J249</f>
        <v>0</v>
      </c>
      <c r="K254" s="71" t="n">
        <f aca="false">J254+K248+K252-K253-K249</f>
        <v>60118.62</v>
      </c>
      <c r="L254" s="71" t="n">
        <f aca="false">K254+L248+L252-L253-L249</f>
        <v>48026.69</v>
      </c>
      <c r="M254" s="71" t="n">
        <f aca="false">L254+M248+M252-M253-M249</f>
        <v>60461.5517757465</v>
      </c>
      <c r="N254" s="71" t="n">
        <f aca="false">M254+N248+N252-N253-N249</f>
        <v>57280.4216466965</v>
      </c>
      <c r="O254" s="71" t="n">
        <f aca="false">N254+O248+O252-O253-O249</f>
        <v>55756.2342785544</v>
      </c>
      <c r="P254" s="71" t="n">
        <f aca="false">O254+P248+P252-P253-P249</f>
        <v>56514.6862014144</v>
      </c>
      <c r="Q254" s="71" t="n">
        <f aca="false">P254+Q248+Q252-Q253-Q249</f>
        <v>46939.8847179446</v>
      </c>
      <c r="R254" s="71" t="n">
        <f aca="false">Q254+R248+R252-R253-R249</f>
        <v>45806.06688052</v>
      </c>
      <c r="S254" s="71" t="n">
        <f aca="false">R254+S248+S252-S253-S249</f>
        <v>0</v>
      </c>
      <c r="T254" s="71" t="n">
        <f aca="false">S254+T248+T252-T253-T249</f>
        <v>0</v>
      </c>
      <c r="U254" s="71" t="n">
        <f aca="false">T254+U248+U252-U253-U249</f>
        <v>0</v>
      </c>
      <c r="V254" s="71" t="n">
        <f aca="false">U254+V248+V252-V253-V249</f>
        <v>0</v>
      </c>
      <c r="W254" s="71" t="n">
        <f aca="false">V254+W248+W252-W253-W249</f>
        <v>0</v>
      </c>
      <c r="X254" s="71" t="n">
        <f aca="false">W254+X248+X252-X253-X249</f>
        <v>0</v>
      </c>
      <c r="Y254" s="71" t="n">
        <f aca="false">X254+Y248+Y252-Y253-Y249</f>
        <v>0</v>
      </c>
      <c r="Z254" s="71" t="n">
        <f aca="false">Y254+Z248+Z252-Z253-Z249</f>
        <v>0</v>
      </c>
      <c r="AA254" s="71" t="n">
        <f aca="false">Z254+AA248+AA252-AA253-AA249</f>
        <v>0</v>
      </c>
      <c r="AB254" s="71" t="n">
        <f aca="false">AA254+AB248+AB252-AB253-AB249</f>
        <v>0</v>
      </c>
    </row>
    <row r="255" customFormat="false" ht="15" hidden="false" customHeight="false" outlineLevel="0" collapsed="false">
      <c r="A255" s="29" t="s">
        <v>849</v>
      </c>
      <c r="B255" s="60" t="s">
        <v>850</v>
      </c>
      <c r="C255" s="61" t="n">
        <f aca="false">P255</f>
        <v>99987.9056887212</v>
      </c>
      <c r="D255" s="61" t="n">
        <f aca="false">AB255</f>
        <v>0</v>
      </c>
      <c r="E255" s="62" t="n">
        <f aca="false">MAX(0,Engagement_Register!$AP$20-E247)</f>
        <v>430000</v>
      </c>
      <c r="F255" s="62" t="n">
        <f aca="false">MAX(0,Engagement_Register!$AP$20-F247)</f>
        <v>430000</v>
      </c>
      <c r="G255" s="62" t="n">
        <f aca="false">MAX(0,Engagement_Register!$AP$20-G247)</f>
        <v>430000</v>
      </c>
      <c r="H255" s="62" t="n">
        <f aca="false">MAX(0,Engagement_Register!$AP$20-H247)</f>
        <v>430000</v>
      </c>
      <c r="I255" s="62" t="n">
        <f aca="false">MAX(0,Engagement_Register!$AP$20-I247)</f>
        <v>430000</v>
      </c>
      <c r="J255" s="62" t="n">
        <f aca="false">MAX(0,Engagement_Register!$AP$20-J247)</f>
        <v>430000</v>
      </c>
      <c r="K255" s="62" t="n">
        <f aca="false">MAX(0,Engagement_Register!$AP$20-K247)</f>
        <v>372980.41</v>
      </c>
      <c r="L255" s="62" t="n">
        <f aca="false">MAX(0,Engagement_Register!$AP$20-L247)</f>
        <v>327320.83</v>
      </c>
      <c r="M255" s="62" t="n">
        <f aca="false">MAX(0,Engagement_Register!$AP$20-M247)</f>
        <v>270121.172906761</v>
      </c>
      <c r="N255" s="62" t="n">
        <f aca="false">MAX(0,Engagement_Register!$AP$20-N247)</f>
        <v>213512.635532223</v>
      </c>
      <c r="O255" s="62" t="n">
        <f aca="false">MAX(0,Engagement_Register!$AP$20-O247)</f>
        <v>157519.408346539</v>
      </c>
      <c r="P255" s="62" t="n">
        <f aca="false">MAX(0,Engagement_Register!$AP$20-P247)</f>
        <v>99987.9056887212</v>
      </c>
      <c r="Q255" s="62" t="n">
        <f aca="false">MAX(0,Engagement_Register!$AP$20-Q247)</f>
        <v>50763.0905804277</v>
      </c>
      <c r="R255" s="62" t="n">
        <f aca="false">MAX(0,Engagement_Register!$AP$20-R247)</f>
        <v>0</v>
      </c>
      <c r="S255" s="62" t="n">
        <f aca="false">MAX(0,Engagement_Register!$AP$20-S247)</f>
        <v>0</v>
      </c>
      <c r="T255" s="62" t="n">
        <f aca="false">MAX(0,Engagement_Register!$AP$20-T247)</f>
        <v>0</v>
      </c>
      <c r="U255" s="62" t="n">
        <f aca="false">MAX(0,Engagement_Register!$AP$20-U247)</f>
        <v>0</v>
      </c>
      <c r="V255" s="62" t="n">
        <f aca="false">MAX(0,Engagement_Register!$AP$20-V247)</f>
        <v>0</v>
      </c>
      <c r="W255" s="62" t="n">
        <f aca="false">MAX(0,Engagement_Register!$AP$20-W247)</f>
        <v>0</v>
      </c>
      <c r="X255" s="62" t="n">
        <f aca="false">MAX(0,Engagement_Register!$AP$20-X247)</f>
        <v>0</v>
      </c>
      <c r="Y255" s="62" t="n">
        <f aca="false">MAX(0,Engagement_Register!$AP$20-Y247)</f>
        <v>0</v>
      </c>
      <c r="Z255" s="62" t="n">
        <f aca="false">MAX(0,Engagement_Register!$AP$20-Z247)</f>
        <v>0</v>
      </c>
      <c r="AA255" s="62" t="n">
        <f aca="false">MAX(0,Engagement_Register!$AP$20-AA247)</f>
        <v>0</v>
      </c>
      <c r="AB255" s="62" t="n">
        <f aca="false">MAX(0,Engagement_Register!$AP$20-AB247)</f>
        <v>0</v>
      </c>
    </row>
    <row r="256" customFormat="false" ht="15" hidden="false" customHeight="false" outlineLevel="0" collapsed="false">
      <c r="A256" s="29" t="s">
        <v>861</v>
      </c>
      <c r="B256" s="60" t="s">
        <v>862</v>
      </c>
      <c r="E256" s="62" t="n">
        <f aca="false">IF(E$5="A",ROUND(E247-IF(E246+(E242-E241)*Engagement_Register!$AE$20&gt;Engagement_Register!$AP$20,Engagement_Register!$AP$20*E243,E246),0),0)</f>
        <v>0</v>
      </c>
      <c r="F256" s="62" t="n">
        <f aca="false">IF(F$5="A",ROUND(F247-IF(F246+(F242-F241)*Engagement_Register!$AE$20&gt;Engagement_Register!$AP$20,Engagement_Register!$AP$20*F243,F246),0),0)</f>
        <v>0</v>
      </c>
      <c r="G256" s="62" t="n">
        <f aca="false">IF(G$5="A",ROUND(G247-IF(G246+(G242-G241)*Engagement_Register!$AE$20&gt;Engagement_Register!$AP$20,Engagement_Register!$AP$20*G243,G246),0),0)</f>
        <v>0</v>
      </c>
      <c r="H256" s="62" t="n">
        <f aca="false">IF(H$5="A",ROUND(H247-IF(H246+(H242-H241)*Engagement_Register!$AE$20&gt;Engagement_Register!$AP$20,Engagement_Register!$AP$20*H243,H246),0),0)</f>
        <v>0</v>
      </c>
      <c r="I256" s="62" t="n">
        <f aca="false">IF(I$5="A",ROUND(I247-IF(I246+(I242-I241)*Engagement_Register!$AE$20&gt;Engagement_Register!$AP$20,Engagement_Register!$AP$20*I243,I246),0),0)</f>
        <v>0</v>
      </c>
      <c r="J256" s="62" t="n">
        <f aca="false">IF(J$5="A",ROUND(J247-IF(J246+(J242-J241)*Engagement_Register!$AE$20&gt;Engagement_Register!$AP$20,Engagement_Register!$AP$20*J243,J246),0),0)</f>
        <v>0</v>
      </c>
      <c r="K256" s="62" t="n">
        <f aca="false">IF(K$5="A",ROUND(K247-IF(K246+(K242-K241)*Engagement_Register!$AE$20&gt;Engagement_Register!$AP$20,Engagement_Register!$AP$20*K243,K246),0),0)</f>
        <v>-0</v>
      </c>
      <c r="L256" s="62" t="n">
        <f aca="false">IF(L$5="A",ROUND(L247-IF(L246+(L242-L241)*Engagement_Register!$AE$20&gt;Engagement_Register!$AP$20,Engagement_Register!$AP$20*L243,L246),0),0)</f>
        <v>-0</v>
      </c>
      <c r="M256" s="62" t="n">
        <f aca="false">IF(M$5="A",ROUND(M247-IF(M246+(M242-M241)*Engagement_Register!$AE$20&gt;Engagement_Register!$AP$20,Engagement_Register!$AP$20*M243,M246),0),0)</f>
        <v>0</v>
      </c>
      <c r="N256" s="62" t="n">
        <f aca="false">IF(N$5="A",ROUND(N247-IF(N246+(N242-N241)*Engagement_Register!$AE$20&gt;Engagement_Register!$AP$20,Engagement_Register!$AP$20*N243,N246),0),0)</f>
        <v>0</v>
      </c>
      <c r="O256" s="62" t="n">
        <f aca="false">IF(O$5="A",ROUND(O247-IF(O246+(O242-O241)*Engagement_Register!$AE$20&gt;Engagement_Register!$AP$20,Engagement_Register!$AP$20*O243,O246),0),0)</f>
        <v>0</v>
      </c>
      <c r="P256" s="62" t="n">
        <f aca="false">IF(P$5="A",ROUND(P247-IF(P246+(P242-P241)*Engagement_Register!$AE$20&gt;Engagement_Register!$AP$20,Engagement_Register!$AP$20*P243,P246),0),0)</f>
        <v>0</v>
      </c>
      <c r="Q256" s="62" t="n">
        <f aca="false">IF(Q$5="A",ROUND(Q247-IF(Q246+(Q242-Q241)*Engagement_Register!$AE$20&gt;Engagement_Register!$AP$20,Engagement_Register!$AP$20*Q243,Q246),0),0)</f>
        <v>0</v>
      </c>
      <c r="R256" s="62" t="n">
        <f aca="false">IF(R$5="A",ROUND(R247-IF(R246+(R242-R241)*Engagement_Register!$AE$20&gt;Engagement_Register!$AP$20,Engagement_Register!$AP$20*R243,R246),0),0)</f>
        <v>0</v>
      </c>
      <c r="S256" s="62" t="n">
        <f aca="false">IF(S$5="A",ROUND(S247-IF(S246+(S242-S241)*Engagement_Register!$AE$20&gt;Engagement_Register!$AP$20,Engagement_Register!$AP$20*S243,S246),0),0)</f>
        <v>0</v>
      </c>
      <c r="T256" s="62" t="n">
        <f aca="false">IF(T$5="A",ROUND(T247-IF(T246+(T242-T241)*Engagement_Register!$AE$20&gt;Engagement_Register!$AP$20,Engagement_Register!$AP$20*T243,T246),0),0)</f>
        <v>0</v>
      </c>
      <c r="U256" s="62" t="n">
        <f aca="false">IF(U$5="A",ROUND(U247-IF(U246+(U242-U241)*Engagement_Register!$AE$20&gt;Engagement_Register!$AP$20,Engagement_Register!$AP$20*U243,U246),0),0)</f>
        <v>0</v>
      </c>
      <c r="V256" s="62" t="n">
        <f aca="false">IF(V$5="A",ROUND(V247-IF(V246+(V242-V241)*Engagement_Register!$AE$20&gt;Engagement_Register!$AP$20,Engagement_Register!$AP$20*V243,V246),0),0)</f>
        <v>0</v>
      </c>
      <c r="W256" s="62" t="n">
        <f aca="false">IF(W$5="A",ROUND(W247-IF(W246+(W242-W241)*Engagement_Register!$AE$20&gt;Engagement_Register!$AP$20,Engagement_Register!$AP$20*W243,W246),0),0)</f>
        <v>0</v>
      </c>
      <c r="X256" s="62" t="n">
        <f aca="false">IF(X$5="A",ROUND(X247-IF(X246+(X242-X241)*Engagement_Register!$AE$20&gt;Engagement_Register!$AP$20,Engagement_Register!$AP$20*X243,X246),0),0)</f>
        <v>0</v>
      </c>
      <c r="Y256" s="62" t="n">
        <f aca="false">IF(Y$5="A",ROUND(Y247-IF(Y246+(Y242-Y241)*Engagement_Register!$AE$20&gt;Engagement_Register!$AP$20,Engagement_Register!$AP$20*Y243,Y246),0),0)</f>
        <v>0</v>
      </c>
      <c r="Z256" s="62" t="n">
        <f aca="false">IF(Z$5="A",ROUND(Z247-IF(Z246+(Z242-Z241)*Engagement_Register!$AE$20&gt;Engagement_Register!$AP$20,Engagement_Register!$AP$20*Z243,Z246),0),0)</f>
        <v>0</v>
      </c>
      <c r="AA256" s="62" t="n">
        <f aca="false">IF(AA$5="A",ROUND(AA247-IF(AA246+(AA242-AA241)*Engagement_Register!$AE$20&gt;Engagement_Register!$AP$20,Engagement_Register!$AP$20*AA243,AA246),0),0)</f>
        <v>0</v>
      </c>
      <c r="AB256" s="62" t="n">
        <f aca="false">IF(AB$5="A",ROUND(AB247-IF(AB246+(AB242-AB241)*Engagement_Register!$AE$20&gt;Engagement_Register!$AP$20,Engagement_Register!$AP$20*AB243,AB246),0),0)</f>
        <v>0</v>
      </c>
    </row>
    <row r="258" customFormat="false" ht="15" hidden="false" customHeight="false" outlineLevel="0" collapsed="false">
      <c r="A258" s="23" t="s">
        <v>880</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row>
    <row r="259" customFormat="false" ht="15" hidden="false" customHeight="false" outlineLevel="0" collapsed="false">
      <c r="A259" s="29" t="s">
        <v>736</v>
      </c>
      <c r="B259" s="60" t="s">
        <v>832</v>
      </c>
      <c r="C259" s="66" t="n">
        <f aca="false">P259</f>
        <v>479.175</v>
      </c>
      <c r="D259" s="66" t="n">
        <f aca="false">AB259</f>
        <v>479.175</v>
      </c>
      <c r="E259" s="67" t="n">
        <f aca="false">Engagement_Register!$T$21+E23</f>
        <v>0</v>
      </c>
      <c r="F259" s="72" t="n">
        <f aca="false">E259+F23</f>
        <v>0</v>
      </c>
      <c r="G259" s="72" t="n">
        <f aca="false">F259+G23</f>
        <v>0</v>
      </c>
      <c r="H259" s="72" t="n">
        <f aca="false">G259+H23</f>
        <v>0</v>
      </c>
      <c r="I259" s="72" t="n">
        <f aca="false">H259+I23</f>
        <v>0</v>
      </c>
      <c r="J259" s="72" t="n">
        <f aca="false">I259+J23</f>
        <v>0</v>
      </c>
      <c r="K259" s="72" t="n">
        <f aca="false">J259+K23</f>
        <v>155.1</v>
      </c>
      <c r="L259" s="72" t="n">
        <f aca="false">K259+L23</f>
        <v>286.5</v>
      </c>
      <c r="M259" s="72" t="n">
        <f aca="false">L259+M23</f>
        <v>479.175</v>
      </c>
      <c r="N259" s="72" t="n">
        <f aca="false">M259+N23</f>
        <v>479.175</v>
      </c>
      <c r="O259" s="72" t="n">
        <f aca="false">N259+O23</f>
        <v>479.175</v>
      </c>
      <c r="P259" s="72" t="n">
        <f aca="false">O259+P23</f>
        <v>479.175</v>
      </c>
      <c r="Q259" s="72" t="n">
        <f aca="false">P259+Q23</f>
        <v>479.175</v>
      </c>
      <c r="R259" s="72" t="n">
        <f aca="false">Q259+R23</f>
        <v>479.175</v>
      </c>
      <c r="S259" s="72" t="n">
        <f aca="false">R259+S23</f>
        <v>479.175</v>
      </c>
      <c r="T259" s="72" t="n">
        <f aca="false">S259+T23</f>
        <v>479.175</v>
      </c>
      <c r="U259" s="72" t="n">
        <f aca="false">T259+U23</f>
        <v>479.175</v>
      </c>
      <c r="V259" s="72" t="n">
        <f aca="false">U259+V23</f>
        <v>479.175</v>
      </c>
      <c r="W259" s="72" t="n">
        <f aca="false">V259+W23</f>
        <v>479.175</v>
      </c>
      <c r="X259" s="72" t="n">
        <f aca="false">W259+X23</f>
        <v>479.175</v>
      </c>
      <c r="Y259" s="72" t="n">
        <f aca="false">X259+Y23</f>
        <v>479.175</v>
      </c>
      <c r="Z259" s="72" t="n">
        <f aca="false">Y259+Z23</f>
        <v>479.175</v>
      </c>
      <c r="AA259" s="72" t="n">
        <f aca="false">Z259+AA23</f>
        <v>479.175</v>
      </c>
      <c r="AB259" s="72" t="n">
        <f aca="false">AA259+AB23</f>
        <v>479.175</v>
      </c>
    </row>
    <row r="260" customFormat="false" ht="15" hidden="false" customHeight="false" outlineLevel="0" collapsed="false">
      <c r="A260" s="29" t="s">
        <v>852</v>
      </c>
      <c r="B260" s="60" t="s">
        <v>853</v>
      </c>
      <c r="C260" s="66" t="n">
        <f aca="false">P260</f>
        <v>479.175</v>
      </c>
      <c r="D260" s="66" t="n">
        <f aca="false">AB260</f>
        <v>479.175</v>
      </c>
      <c r="E260" s="67" t="n">
        <f aca="false">IF(E$5="A",IF(E259+N(Inputs_Actuals!E88)&lt;=0,Engagement_Register!$AM$21,E259+N(Inputs_Actuals!E88)),Engagement_Register!$AM$21)</f>
        <v>479.175</v>
      </c>
      <c r="F260" s="67" t="n">
        <f aca="false">IF(F$5="A",IF(F259+N(Inputs_Actuals!F88)&lt;=0,Engagement_Register!$AM$21,F259+N(Inputs_Actuals!F88)),Engagement_Register!$AM$21)</f>
        <v>479.175</v>
      </c>
      <c r="G260" s="67" t="n">
        <f aca="false">IF(G$5="A",IF(G259+N(Inputs_Actuals!G88)&lt;=0,Engagement_Register!$AM$21,G259+N(Inputs_Actuals!G88)),Engagement_Register!$AM$21)</f>
        <v>479.175</v>
      </c>
      <c r="H260" s="67" t="n">
        <f aca="false">IF(H$5="A",IF(H259+N(Inputs_Actuals!H88)&lt;=0,Engagement_Register!$AM$21,H259+N(Inputs_Actuals!H88)),Engagement_Register!$AM$21)</f>
        <v>479.175</v>
      </c>
      <c r="I260" s="67" t="n">
        <f aca="false">IF(I$5="A",IF(I259+N(Inputs_Actuals!I88)&lt;=0,Engagement_Register!$AM$21,I259+N(Inputs_Actuals!I88)),Engagement_Register!$AM$21)</f>
        <v>479.175</v>
      </c>
      <c r="J260" s="67" t="n">
        <f aca="false">IF(J$5="A",IF(J259+N(Inputs_Actuals!J88)&lt;=0,Engagement_Register!$AM$21,J259+N(Inputs_Actuals!J88)),Engagement_Register!$AM$21)</f>
        <v>479.175</v>
      </c>
      <c r="K260" s="67" t="n">
        <f aca="false">IF(K$5="A",IF(K259+N(Inputs_Actuals!K88)&lt;=0,Engagement_Register!$AM$21,K259+N(Inputs_Actuals!K88)),Engagement_Register!$AM$21)</f>
        <v>440</v>
      </c>
      <c r="L260" s="67" t="n">
        <f aca="false">IF(L$5="A",IF(L259+N(Inputs_Actuals!L88)&lt;=0,Engagement_Register!$AM$21,L259+N(Inputs_Actuals!L88)),Engagement_Register!$AM$21)</f>
        <v>470</v>
      </c>
      <c r="M260" s="67" t="n">
        <f aca="false">IF(M$5="A",IF(M259+N(Inputs_Actuals!M88)&lt;=0,Engagement_Register!$AM$21,M259+N(Inputs_Actuals!M88)),Engagement_Register!$AM$21)</f>
        <v>479.175</v>
      </c>
      <c r="N260" s="67" t="n">
        <f aca="false">IF(N$5="A",IF(N259+N(Inputs_Actuals!N88)&lt;=0,Engagement_Register!$AM$21,N259+N(Inputs_Actuals!N88)),Engagement_Register!$AM$21)</f>
        <v>479.175</v>
      </c>
      <c r="O260" s="67" t="n">
        <f aca="false">IF(O$5="A",IF(O259+N(Inputs_Actuals!O88)&lt;=0,Engagement_Register!$AM$21,O259+N(Inputs_Actuals!O88)),Engagement_Register!$AM$21)</f>
        <v>479.175</v>
      </c>
      <c r="P260" s="67" t="n">
        <f aca="false">IF(P$5="A",IF(P259+N(Inputs_Actuals!P88)&lt;=0,Engagement_Register!$AM$21,P259+N(Inputs_Actuals!P88)),Engagement_Register!$AM$21)</f>
        <v>479.175</v>
      </c>
      <c r="Q260" s="67" t="n">
        <f aca="false">IF(Q$5="A",IF(Q259+N(Inputs_Actuals!Q88)&lt;=0,Engagement_Register!$AM$21,Q259+N(Inputs_Actuals!Q88)),Engagement_Register!$AM$21)</f>
        <v>479.175</v>
      </c>
      <c r="R260" s="67" t="n">
        <f aca="false">IF(R$5="A",IF(R259+N(Inputs_Actuals!R88)&lt;=0,Engagement_Register!$AM$21,R259+N(Inputs_Actuals!R88)),Engagement_Register!$AM$21)</f>
        <v>479.175</v>
      </c>
      <c r="S260" s="67" t="n">
        <f aca="false">IF(S$5="A",IF(S259+N(Inputs_Actuals!S88)&lt;=0,Engagement_Register!$AM$21,S259+N(Inputs_Actuals!S88)),Engagement_Register!$AM$21)</f>
        <v>479.175</v>
      </c>
      <c r="T260" s="67" t="n">
        <f aca="false">IF(T$5="A",IF(T259+N(Inputs_Actuals!T88)&lt;=0,Engagement_Register!$AM$21,T259+N(Inputs_Actuals!T88)),Engagement_Register!$AM$21)</f>
        <v>479.175</v>
      </c>
      <c r="U260" s="67" t="n">
        <f aca="false">IF(U$5="A",IF(U259+N(Inputs_Actuals!U88)&lt;=0,Engagement_Register!$AM$21,U259+N(Inputs_Actuals!U88)),Engagement_Register!$AM$21)</f>
        <v>479.175</v>
      </c>
      <c r="V260" s="67" t="n">
        <f aca="false">IF(V$5="A",IF(V259+N(Inputs_Actuals!V88)&lt;=0,Engagement_Register!$AM$21,V259+N(Inputs_Actuals!V88)),Engagement_Register!$AM$21)</f>
        <v>479.175</v>
      </c>
      <c r="W260" s="67" t="n">
        <f aca="false">IF(W$5="A",IF(W259+N(Inputs_Actuals!W88)&lt;=0,Engagement_Register!$AM$21,W259+N(Inputs_Actuals!W88)),Engagement_Register!$AM$21)</f>
        <v>479.175</v>
      </c>
      <c r="X260" s="67" t="n">
        <f aca="false">IF(X$5="A",IF(X259+N(Inputs_Actuals!X88)&lt;=0,Engagement_Register!$AM$21,X259+N(Inputs_Actuals!X88)),Engagement_Register!$AM$21)</f>
        <v>479.175</v>
      </c>
      <c r="Y260" s="67" t="n">
        <f aca="false">IF(Y$5="A",IF(Y259+N(Inputs_Actuals!Y88)&lt;=0,Engagement_Register!$AM$21,Y259+N(Inputs_Actuals!Y88)),Engagement_Register!$AM$21)</f>
        <v>479.175</v>
      </c>
      <c r="Z260" s="67" t="n">
        <f aca="false">IF(Z$5="A",IF(Z259+N(Inputs_Actuals!Z88)&lt;=0,Engagement_Register!$AM$21,Z259+N(Inputs_Actuals!Z88)),Engagement_Register!$AM$21)</f>
        <v>479.175</v>
      </c>
      <c r="AA260" s="67" t="n">
        <f aca="false">IF(AA$5="A",IF(AA259+N(Inputs_Actuals!AA88)&lt;=0,Engagement_Register!$AM$21,AA259+N(Inputs_Actuals!AA88)),Engagement_Register!$AM$21)</f>
        <v>479.175</v>
      </c>
      <c r="AB260" s="67" t="n">
        <f aca="false">IF(AB$5="A",IF(AB259+N(Inputs_Actuals!AB88)&lt;=0,Engagement_Register!$AM$21,AB259+N(Inputs_Actuals!AB88)),Engagement_Register!$AM$21)</f>
        <v>479.175</v>
      </c>
    </row>
    <row r="261" customFormat="false" ht="15" hidden="false" customHeight="false" outlineLevel="0" collapsed="false">
      <c r="A261" s="29" t="s">
        <v>854</v>
      </c>
      <c r="B261" s="60" t="s">
        <v>855</v>
      </c>
      <c r="C261" s="63" t="n">
        <f aca="false">P261</f>
        <v>1</v>
      </c>
      <c r="D261" s="63" t="n">
        <f aca="false">AB261</f>
        <v>1</v>
      </c>
      <c r="E261" s="64" t="n">
        <f aca="false">IF(E260&lt;=0,0,MIN(1,E259/E260))</f>
        <v>0</v>
      </c>
      <c r="F261" s="64" t="n">
        <f aca="false">IF(F260&lt;=0,0,MIN(1,F259/F260))</f>
        <v>0</v>
      </c>
      <c r="G261" s="64" t="n">
        <f aca="false">IF(G260&lt;=0,0,MIN(1,G259/G260))</f>
        <v>0</v>
      </c>
      <c r="H261" s="64" t="n">
        <f aca="false">IF(H260&lt;=0,0,MIN(1,H259/H260))</f>
        <v>0</v>
      </c>
      <c r="I261" s="64" t="n">
        <f aca="false">IF(I260&lt;=0,0,MIN(1,I259/I260))</f>
        <v>0</v>
      </c>
      <c r="J261" s="64" t="n">
        <f aca="false">IF(J260&lt;=0,0,MIN(1,J259/J260))</f>
        <v>0</v>
      </c>
      <c r="K261" s="64" t="n">
        <f aca="false">IF(K260&lt;=0,0,MIN(1,K259/K260))</f>
        <v>0.3525</v>
      </c>
      <c r="L261" s="64" t="n">
        <f aca="false">IF(L260&lt;=0,0,MIN(1,L259/L260))</f>
        <v>0.609574468085106</v>
      </c>
      <c r="M261" s="64" t="n">
        <f aca="false">IF(M260&lt;=0,0,MIN(1,M259/M260))</f>
        <v>1</v>
      </c>
      <c r="N261" s="64" t="n">
        <f aca="false">IF(N260&lt;=0,0,MIN(1,N259/N260))</f>
        <v>1</v>
      </c>
      <c r="O261" s="64" t="n">
        <f aca="false">IF(O260&lt;=0,0,MIN(1,O259/O260))</f>
        <v>1</v>
      </c>
      <c r="P261" s="64" t="n">
        <f aca="false">IF(P260&lt;=0,0,MIN(1,P259/P260))</f>
        <v>1</v>
      </c>
      <c r="Q261" s="64" t="n">
        <f aca="false">IF(Q260&lt;=0,0,MIN(1,Q259/Q260))</f>
        <v>1</v>
      </c>
      <c r="R261" s="64" t="n">
        <f aca="false">IF(R260&lt;=0,0,MIN(1,R259/R260))</f>
        <v>1</v>
      </c>
      <c r="S261" s="64" t="n">
        <f aca="false">IF(S260&lt;=0,0,MIN(1,S259/S260))</f>
        <v>1</v>
      </c>
      <c r="T261" s="64" t="n">
        <f aca="false">IF(T260&lt;=0,0,MIN(1,T259/T260))</f>
        <v>1</v>
      </c>
      <c r="U261" s="64" t="n">
        <f aca="false">IF(U260&lt;=0,0,MIN(1,U259/U260))</f>
        <v>1</v>
      </c>
      <c r="V261" s="64" t="n">
        <f aca="false">IF(V260&lt;=0,0,MIN(1,V259/V260))</f>
        <v>1</v>
      </c>
      <c r="W261" s="64" t="n">
        <f aca="false">IF(W260&lt;=0,0,MIN(1,W259/W260))</f>
        <v>1</v>
      </c>
      <c r="X261" s="64" t="n">
        <f aca="false">IF(X260&lt;=0,0,MIN(1,X259/X260))</f>
        <v>1</v>
      </c>
      <c r="Y261" s="64" t="n">
        <f aca="false">IF(Y260&lt;=0,0,MIN(1,Y259/Y260))</f>
        <v>1</v>
      </c>
      <c r="Z261" s="64" t="n">
        <f aca="false">IF(Z260&lt;=0,0,MIN(1,Z259/Z260))</f>
        <v>1</v>
      </c>
      <c r="AA261" s="64" t="n">
        <f aca="false">IF(AA260&lt;=0,0,MIN(1,AA259/AA260))</f>
        <v>1</v>
      </c>
      <c r="AB261" s="64" t="n">
        <f aca="false">IF(AB260&lt;=0,0,MIN(1,AB259/AB260))</f>
        <v>1</v>
      </c>
    </row>
    <row r="262" customFormat="false" ht="15" hidden="false" customHeight="false" outlineLevel="0" collapsed="false">
      <c r="A262" s="29" t="s">
        <v>833</v>
      </c>
      <c r="B262" s="60" t="s">
        <v>834</v>
      </c>
      <c r="C262" s="61" t="n">
        <f aca="false">SUM(E262:P262)</f>
        <v>98997.555</v>
      </c>
      <c r="D262" s="61" t="n">
        <f aca="false">SUM(Q262:AB262)</f>
        <v>0</v>
      </c>
      <c r="E262" s="62" t="n">
        <f aca="false">E23*Engagement_Register!$AD$21*Assumptions!E$194</f>
        <v>0</v>
      </c>
      <c r="F262" s="62" t="n">
        <f aca="false">F23*Engagement_Register!$AD$21*Assumptions!F$194</f>
        <v>0</v>
      </c>
      <c r="G262" s="62" t="n">
        <f aca="false">G23*Engagement_Register!$AD$21*Assumptions!G$194</f>
        <v>0</v>
      </c>
      <c r="H262" s="62" t="n">
        <f aca="false">H23*Engagement_Register!$AD$21*Assumptions!H$194</f>
        <v>0</v>
      </c>
      <c r="I262" s="62" t="n">
        <f aca="false">I23*Engagement_Register!$AD$21*Assumptions!I$194</f>
        <v>0</v>
      </c>
      <c r="J262" s="62" t="n">
        <f aca="false">J23*Engagement_Register!$AD$21*Assumptions!J$194</f>
        <v>0</v>
      </c>
      <c r="K262" s="62" t="n">
        <f aca="false">K23*Engagement_Register!$AD$21*Assumptions!K$194</f>
        <v>32043.66</v>
      </c>
      <c r="L262" s="62" t="n">
        <f aca="false">L23*Engagement_Register!$AD$21*Assumptions!L$194</f>
        <v>27147.24</v>
      </c>
      <c r="M262" s="62" t="n">
        <f aca="false">M23*Engagement_Register!$AD$21*Assumptions!M$194</f>
        <v>39806.655</v>
      </c>
      <c r="N262" s="62" t="n">
        <f aca="false">N23*Engagement_Register!$AD$21*Assumptions!N$194</f>
        <v>0</v>
      </c>
      <c r="O262" s="62" t="n">
        <f aca="false">O23*Engagement_Register!$AD$21*Assumptions!O$194</f>
        <v>0</v>
      </c>
      <c r="P262" s="62" t="n">
        <f aca="false">P23*Engagement_Register!$AD$21*Assumptions!P$194</f>
        <v>0</v>
      </c>
      <c r="Q262" s="62" t="n">
        <f aca="false">Q23*Engagement_Register!$AD$21*Assumptions!Q$194</f>
        <v>0</v>
      </c>
      <c r="R262" s="62" t="n">
        <f aca="false">R23*Engagement_Register!$AD$21*Assumptions!R$194</f>
        <v>0</v>
      </c>
      <c r="S262" s="62" t="n">
        <f aca="false">S23*Engagement_Register!$AD$21*Assumptions!S$194</f>
        <v>0</v>
      </c>
      <c r="T262" s="62" t="n">
        <f aca="false">T23*Engagement_Register!$AD$21*Assumptions!T$194</f>
        <v>0</v>
      </c>
      <c r="U262" s="62" t="n">
        <f aca="false">U23*Engagement_Register!$AD$21*Assumptions!U$194</f>
        <v>0</v>
      </c>
      <c r="V262" s="62" t="n">
        <f aca="false">V23*Engagement_Register!$AD$21*Assumptions!V$194</f>
        <v>0</v>
      </c>
      <c r="W262" s="62" t="n">
        <f aca="false">W23*Engagement_Register!$AD$21*Assumptions!W$194</f>
        <v>0</v>
      </c>
      <c r="X262" s="62" t="n">
        <f aca="false">X23*Engagement_Register!$AD$21*Assumptions!X$194</f>
        <v>0</v>
      </c>
      <c r="Y262" s="62" t="n">
        <f aca="false">Y23*Engagement_Register!$AD$21*Assumptions!Y$194</f>
        <v>0</v>
      </c>
      <c r="Z262" s="62" t="n">
        <f aca="false">Z23*Engagement_Register!$AD$21*Assumptions!Z$194</f>
        <v>0</v>
      </c>
      <c r="AA262" s="62" t="n">
        <f aca="false">AA23*Engagement_Register!$AD$21*Assumptions!AA$194</f>
        <v>0</v>
      </c>
      <c r="AB262" s="62" t="n">
        <f aca="false">AB23*Engagement_Register!$AD$21*Assumptions!AB$194</f>
        <v>0</v>
      </c>
    </row>
    <row r="263" customFormat="false" ht="15" hidden="false" customHeight="false" outlineLevel="0" collapsed="false">
      <c r="A263" s="29" t="s">
        <v>835</v>
      </c>
      <c r="B263" s="60" t="s">
        <v>865</v>
      </c>
      <c r="C263" s="61" t="n">
        <f aca="false">SUM(E263:P263)</f>
        <v>98013.0681818182</v>
      </c>
      <c r="D263" s="61" t="n">
        <f aca="false">SUM(Q263:AB263)</f>
        <v>0</v>
      </c>
      <c r="E263" s="62" t="n">
        <f aca="false">E23*Engagement_Register!$AE$21</f>
        <v>0</v>
      </c>
      <c r="F263" s="62" t="n">
        <f aca="false">F23*Engagement_Register!$AE$21</f>
        <v>0</v>
      </c>
      <c r="G263" s="62" t="n">
        <f aca="false">G23*Engagement_Register!$AE$21</f>
        <v>0</v>
      </c>
      <c r="H263" s="62" t="n">
        <f aca="false">H23*Engagement_Register!$AE$21</f>
        <v>0</v>
      </c>
      <c r="I263" s="62" t="n">
        <f aca="false">I23*Engagement_Register!$AE$21</f>
        <v>0</v>
      </c>
      <c r="J263" s="62" t="n">
        <f aca="false">J23*Engagement_Register!$AE$21</f>
        <v>0</v>
      </c>
      <c r="K263" s="62" t="n">
        <f aca="false">K23*Engagement_Register!$AE$21</f>
        <v>31725</v>
      </c>
      <c r="L263" s="62" t="n">
        <f aca="false">L23*Engagement_Register!$AE$21</f>
        <v>26877.2727272727</v>
      </c>
      <c r="M263" s="62" t="n">
        <f aca="false">M23*Engagement_Register!$AE$21</f>
        <v>39410.7954545455</v>
      </c>
      <c r="N263" s="62" t="n">
        <f aca="false">N23*Engagement_Register!$AE$21</f>
        <v>0</v>
      </c>
      <c r="O263" s="62" t="n">
        <f aca="false">O23*Engagement_Register!$AE$21</f>
        <v>0</v>
      </c>
      <c r="P263" s="62" t="n">
        <f aca="false">P23*Engagement_Register!$AE$21</f>
        <v>0</v>
      </c>
      <c r="Q263" s="62" t="n">
        <f aca="false">Q23*Engagement_Register!$AE$21</f>
        <v>0</v>
      </c>
      <c r="R263" s="62" t="n">
        <f aca="false">R23*Engagement_Register!$AE$21</f>
        <v>0</v>
      </c>
      <c r="S263" s="62" t="n">
        <f aca="false">S23*Engagement_Register!$AE$21</f>
        <v>0</v>
      </c>
      <c r="T263" s="62" t="n">
        <f aca="false">T23*Engagement_Register!$AE$21</f>
        <v>0</v>
      </c>
      <c r="U263" s="62" t="n">
        <f aca="false">U23*Engagement_Register!$AE$21</f>
        <v>0</v>
      </c>
      <c r="V263" s="62" t="n">
        <f aca="false">V23*Engagement_Register!$AE$21</f>
        <v>0</v>
      </c>
      <c r="W263" s="62" t="n">
        <f aca="false">W23*Engagement_Register!$AE$21</f>
        <v>0</v>
      </c>
      <c r="X263" s="62" t="n">
        <f aca="false">X23*Engagement_Register!$AE$21</f>
        <v>0</v>
      </c>
      <c r="Y263" s="62" t="n">
        <f aca="false">Y23*Engagement_Register!$AE$21</f>
        <v>0</v>
      </c>
      <c r="Z263" s="62" t="n">
        <f aca="false">Z23*Engagement_Register!$AE$21</f>
        <v>0</v>
      </c>
      <c r="AA263" s="62" t="n">
        <f aca="false">AA23*Engagement_Register!$AE$21</f>
        <v>0</v>
      </c>
      <c r="AB263" s="62" t="n">
        <f aca="false">AB23*Engagement_Register!$AE$21</f>
        <v>0</v>
      </c>
    </row>
    <row r="264" customFormat="false" ht="15" hidden="false" customHeight="false" outlineLevel="0" collapsed="false">
      <c r="A264" s="29" t="s">
        <v>742</v>
      </c>
      <c r="B264" s="60" t="s">
        <v>866</v>
      </c>
      <c r="C264" s="61" t="n">
        <f aca="false">P264</f>
        <v>90000</v>
      </c>
      <c r="D264" s="61" t="n">
        <f aca="false">AB264</f>
        <v>90000</v>
      </c>
      <c r="E264" s="62" t="n">
        <f aca="false">IF(E$5="A",Engagement_Register!$U$21+Inputs_Actuals!E89,Engagement_Register!$AP$21*E261)</f>
        <v>0</v>
      </c>
      <c r="F264" s="62" t="n">
        <f aca="false">IF(F$5="A",E264+Inputs_Actuals!F89,Engagement_Register!$AP$21*F261)</f>
        <v>0</v>
      </c>
      <c r="G264" s="62" t="n">
        <f aca="false">IF(G$5="A",F264+Inputs_Actuals!G89,Engagement_Register!$AP$21*G261)</f>
        <v>0</v>
      </c>
      <c r="H264" s="62" t="n">
        <f aca="false">IF(H$5="A",G264+Inputs_Actuals!H89,Engagement_Register!$AP$21*H261)</f>
        <v>0</v>
      </c>
      <c r="I264" s="62" t="n">
        <f aca="false">IF(I$5="A",H264+Inputs_Actuals!I89,Engagement_Register!$AP$21*I261)</f>
        <v>0</v>
      </c>
      <c r="J264" s="62" t="n">
        <f aca="false">IF(J$5="A",I264+Inputs_Actuals!J89,Engagement_Register!$AP$21*J261)</f>
        <v>0</v>
      </c>
      <c r="K264" s="62" t="n">
        <f aca="false">IF(K$5="A",J264+Inputs_Actuals!K89,Engagement_Register!$AP$21*K261)</f>
        <v>31725</v>
      </c>
      <c r="L264" s="62" t="n">
        <f aca="false">IF(L$5="A",K264+Inputs_Actuals!L89,Engagement_Register!$AP$21*L261)</f>
        <v>54861.7</v>
      </c>
      <c r="M264" s="62" t="n">
        <f aca="false">IF(M$5="A",L264+Inputs_Actuals!M89,Engagement_Register!$AP$21*M261)</f>
        <v>90000</v>
      </c>
      <c r="N264" s="62" t="n">
        <f aca="false">IF(N$5="A",M264+Inputs_Actuals!N89,Engagement_Register!$AP$21*N261)</f>
        <v>90000</v>
      </c>
      <c r="O264" s="62" t="n">
        <f aca="false">IF(O$5="A",N264+Inputs_Actuals!O89,Engagement_Register!$AP$21*O261)</f>
        <v>90000</v>
      </c>
      <c r="P264" s="62" t="n">
        <f aca="false">IF(P$5="A",O264+Inputs_Actuals!P89,Engagement_Register!$AP$21*P261)</f>
        <v>90000</v>
      </c>
      <c r="Q264" s="62" t="n">
        <f aca="false">IF(Q$5="A",P264+Inputs_Actuals!Q89,Engagement_Register!$AP$21*Q261)</f>
        <v>90000</v>
      </c>
      <c r="R264" s="62" t="n">
        <f aca="false">IF(R$5="A",Q264+Inputs_Actuals!R89,Engagement_Register!$AP$21*R261)</f>
        <v>90000</v>
      </c>
      <c r="S264" s="62" t="n">
        <f aca="false">IF(S$5="A",R264+Inputs_Actuals!S89,Engagement_Register!$AP$21*S261)</f>
        <v>90000</v>
      </c>
      <c r="T264" s="62" t="n">
        <f aca="false">IF(T$5="A",S264+Inputs_Actuals!T89,Engagement_Register!$AP$21*T261)</f>
        <v>90000</v>
      </c>
      <c r="U264" s="62" t="n">
        <f aca="false">IF(U$5="A",T264+Inputs_Actuals!U89,Engagement_Register!$AP$21*U261)</f>
        <v>90000</v>
      </c>
      <c r="V264" s="62" t="n">
        <f aca="false">IF(V$5="A",U264+Inputs_Actuals!V89,Engagement_Register!$AP$21*V261)</f>
        <v>90000</v>
      </c>
      <c r="W264" s="62" t="n">
        <f aca="false">IF(W$5="A",V264+Inputs_Actuals!W89,Engagement_Register!$AP$21*W261)</f>
        <v>90000</v>
      </c>
      <c r="X264" s="62" t="n">
        <f aca="false">IF(X$5="A",W264+Inputs_Actuals!X89,Engagement_Register!$AP$21*X261)</f>
        <v>90000</v>
      </c>
      <c r="Y264" s="62" t="n">
        <f aca="false">IF(Y$5="A",X264+Inputs_Actuals!Y89,Engagement_Register!$AP$21*Y261)</f>
        <v>90000</v>
      </c>
      <c r="Z264" s="62" t="n">
        <f aca="false">IF(Z$5="A",Y264+Inputs_Actuals!Z89,Engagement_Register!$AP$21*Z261)</f>
        <v>90000</v>
      </c>
      <c r="AA264" s="62" t="n">
        <f aca="false">IF(AA$5="A",Z264+Inputs_Actuals!AA89,Engagement_Register!$AP$21*AA261)</f>
        <v>90000</v>
      </c>
      <c r="AB264" s="62" t="n">
        <f aca="false">IF(AB$5="A",AA264+Inputs_Actuals!AB89,Engagement_Register!$AP$21*AB261)</f>
        <v>90000</v>
      </c>
    </row>
    <row r="265" customFormat="false" ht="15" hidden="false" customHeight="false" outlineLevel="0" collapsed="false">
      <c r="A265" s="68" t="s">
        <v>349</v>
      </c>
      <c r="B265" s="69" t="s">
        <v>859</v>
      </c>
      <c r="C265" s="70" t="n">
        <f aca="false">SUM(E265:P265)</f>
        <v>90000</v>
      </c>
      <c r="D265" s="70" t="n">
        <f aca="false">SUM(Q265:AB265)</f>
        <v>0</v>
      </c>
      <c r="E265" s="74" t="n">
        <f aca="false">E264-Engagement_Register!$U$21</f>
        <v>0</v>
      </c>
      <c r="F265" s="70" t="n">
        <f aca="false">F264-E264</f>
        <v>0</v>
      </c>
      <c r="G265" s="70" t="n">
        <f aca="false">G264-F264</f>
        <v>0</v>
      </c>
      <c r="H265" s="70" t="n">
        <f aca="false">H264-G264</f>
        <v>0</v>
      </c>
      <c r="I265" s="70" t="n">
        <f aca="false">I264-H264</f>
        <v>0</v>
      </c>
      <c r="J265" s="70" t="n">
        <f aca="false">J264-I264</f>
        <v>0</v>
      </c>
      <c r="K265" s="70" t="n">
        <f aca="false">K264-J264</f>
        <v>31725</v>
      </c>
      <c r="L265" s="70" t="n">
        <f aca="false">L264-K264</f>
        <v>23136.7</v>
      </c>
      <c r="M265" s="70" t="n">
        <f aca="false">M264-L264</f>
        <v>35138.3</v>
      </c>
      <c r="N265" s="70" t="n">
        <f aca="false">N264-M264</f>
        <v>0</v>
      </c>
      <c r="O265" s="70" t="n">
        <f aca="false">O264-N264</f>
        <v>0</v>
      </c>
      <c r="P265" s="70" t="n">
        <f aca="false">P264-O264</f>
        <v>0</v>
      </c>
      <c r="Q265" s="70" t="n">
        <f aca="false">Q264-P264</f>
        <v>0</v>
      </c>
      <c r="R265" s="70" t="n">
        <f aca="false">R264-Q264</f>
        <v>0</v>
      </c>
      <c r="S265" s="70" t="n">
        <f aca="false">S264-R264</f>
        <v>0</v>
      </c>
      <c r="T265" s="70" t="n">
        <f aca="false">T264-S264</f>
        <v>0</v>
      </c>
      <c r="U265" s="70" t="n">
        <f aca="false">U264-T264</f>
        <v>0</v>
      </c>
      <c r="V265" s="70" t="n">
        <f aca="false">V264-U264</f>
        <v>0</v>
      </c>
      <c r="W265" s="70" t="n">
        <f aca="false">W264-V264</f>
        <v>0</v>
      </c>
      <c r="X265" s="70" t="n">
        <f aca="false">X264-W264</f>
        <v>0</v>
      </c>
      <c r="Y265" s="70" t="n">
        <f aca="false">Y264-X264</f>
        <v>0</v>
      </c>
      <c r="Z265" s="70" t="n">
        <f aca="false">Z264-Y264</f>
        <v>0</v>
      </c>
      <c r="AA265" s="70" t="n">
        <f aca="false">AA264-Z264</f>
        <v>0</v>
      </c>
      <c r="AB265" s="70" t="n">
        <f aca="false">AB264-AA264</f>
        <v>0</v>
      </c>
    </row>
    <row r="266" customFormat="false" ht="15" hidden="false" customHeight="false" outlineLevel="0" collapsed="false">
      <c r="A266" s="29" t="s">
        <v>867</v>
      </c>
      <c r="B266" s="60" t="s">
        <v>868</v>
      </c>
      <c r="C266" s="61" t="n">
        <f aca="false">P266</f>
        <v>90000</v>
      </c>
      <c r="D266" s="61" t="n">
        <f aca="false">AB266</f>
        <v>90000</v>
      </c>
      <c r="E266" s="62" t="n">
        <f aca="false">Engagement_Register!$AP$21*(Assumptions!$C$146*(Assumptions!E$187&gt;=Engagement_Register!$AG$21)+Assumptions!$C$147*(Assumptions!E$187&gt;=Engagement_Register!$AI$21)+Assumptions!$C$148*(Assumptions!E$187&gt;=Engagement_Register!$AH$21))</f>
        <v>0</v>
      </c>
      <c r="F266" s="62" t="n">
        <f aca="false">Engagement_Register!$AP$21*(Assumptions!$C$146*(Assumptions!F$187&gt;=Engagement_Register!$AG$21)+Assumptions!$C$147*(Assumptions!F$187&gt;=Engagement_Register!$AI$21)+Assumptions!$C$148*(Assumptions!F$187&gt;=Engagement_Register!$AH$21))</f>
        <v>0</v>
      </c>
      <c r="G266" s="62" t="n">
        <f aca="false">Engagement_Register!$AP$21*(Assumptions!$C$146*(Assumptions!G$187&gt;=Engagement_Register!$AG$21)+Assumptions!$C$147*(Assumptions!G$187&gt;=Engagement_Register!$AI$21)+Assumptions!$C$148*(Assumptions!G$187&gt;=Engagement_Register!$AH$21))</f>
        <v>0</v>
      </c>
      <c r="H266" s="62" t="n">
        <f aca="false">Engagement_Register!$AP$21*(Assumptions!$C$146*(Assumptions!H$187&gt;=Engagement_Register!$AG$21)+Assumptions!$C$147*(Assumptions!H$187&gt;=Engagement_Register!$AI$21)+Assumptions!$C$148*(Assumptions!H$187&gt;=Engagement_Register!$AH$21))</f>
        <v>0</v>
      </c>
      <c r="I266" s="62" t="n">
        <f aca="false">Engagement_Register!$AP$21*(Assumptions!$C$146*(Assumptions!I$187&gt;=Engagement_Register!$AG$21)+Assumptions!$C$147*(Assumptions!I$187&gt;=Engagement_Register!$AI$21)+Assumptions!$C$148*(Assumptions!I$187&gt;=Engagement_Register!$AH$21))</f>
        <v>0</v>
      </c>
      <c r="J266" s="62" t="n">
        <f aca="false">Engagement_Register!$AP$21*(Assumptions!$C$146*(Assumptions!J$187&gt;=Engagement_Register!$AG$21)+Assumptions!$C$147*(Assumptions!J$187&gt;=Engagement_Register!$AI$21)+Assumptions!$C$148*(Assumptions!J$187&gt;=Engagement_Register!$AH$21))</f>
        <v>0</v>
      </c>
      <c r="K266" s="62" t="n">
        <f aca="false">Engagement_Register!$AP$21*(Assumptions!$C$146*(Assumptions!K$187&gt;=Engagement_Register!$AG$21)+Assumptions!$C$147*(Assumptions!K$187&gt;=Engagement_Register!$AI$21)+Assumptions!$C$148*(Assumptions!K$187&gt;=Engagement_Register!$AH$21))</f>
        <v>27000</v>
      </c>
      <c r="L266" s="62" t="n">
        <f aca="false">Engagement_Register!$AP$21*(Assumptions!$C$146*(Assumptions!L$187&gt;=Engagement_Register!$AG$21)+Assumptions!$C$147*(Assumptions!L$187&gt;=Engagement_Register!$AI$21)+Assumptions!$C$148*(Assumptions!L$187&gt;=Engagement_Register!$AH$21))</f>
        <v>63000</v>
      </c>
      <c r="M266" s="62" t="n">
        <f aca="false">Engagement_Register!$AP$21*(Assumptions!$C$146*(Assumptions!M$187&gt;=Engagement_Register!$AG$21)+Assumptions!$C$147*(Assumptions!M$187&gt;=Engagement_Register!$AI$21)+Assumptions!$C$148*(Assumptions!M$187&gt;=Engagement_Register!$AH$21))</f>
        <v>90000</v>
      </c>
      <c r="N266" s="62" t="n">
        <f aca="false">Engagement_Register!$AP$21*(Assumptions!$C$146*(Assumptions!N$187&gt;=Engagement_Register!$AG$21)+Assumptions!$C$147*(Assumptions!N$187&gt;=Engagement_Register!$AI$21)+Assumptions!$C$148*(Assumptions!N$187&gt;=Engagement_Register!$AH$21))</f>
        <v>90000</v>
      </c>
      <c r="O266" s="62" t="n">
        <f aca="false">Engagement_Register!$AP$21*(Assumptions!$C$146*(Assumptions!O$187&gt;=Engagement_Register!$AG$21)+Assumptions!$C$147*(Assumptions!O$187&gt;=Engagement_Register!$AI$21)+Assumptions!$C$148*(Assumptions!O$187&gt;=Engagement_Register!$AH$21))</f>
        <v>90000</v>
      </c>
      <c r="P266" s="62" t="n">
        <f aca="false">Engagement_Register!$AP$21*(Assumptions!$C$146*(Assumptions!P$187&gt;=Engagement_Register!$AG$21)+Assumptions!$C$147*(Assumptions!P$187&gt;=Engagement_Register!$AI$21)+Assumptions!$C$148*(Assumptions!P$187&gt;=Engagement_Register!$AH$21))</f>
        <v>90000</v>
      </c>
      <c r="Q266" s="62" t="n">
        <f aca="false">Engagement_Register!$AP$21*(Assumptions!$C$146*(Assumptions!Q$187&gt;=Engagement_Register!$AG$21)+Assumptions!$C$147*(Assumptions!Q$187&gt;=Engagement_Register!$AI$21)+Assumptions!$C$148*(Assumptions!Q$187&gt;=Engagement_Register!$AH$21))</f>
        <v>90000</v>
      </c>
      <c r="R266" s="62" t="n">
        <f aca="false">Engagement_Register!$AP$21*(Assumptions!$C$146*(Assumptions!R$187&gt;=Engagement_Register!$AG$21)+Assumptions!$C$147*(Assumptions!R$187&gt;=Engagement_Register!$AI$21)+Assumptions!$C$148*(Assumptions!R$187&gt;=Engagement_Register!$AH$21))</f>
        <v>90000</v>
      </c>
      <c r="S266" s="62" t="n">
        <f aca="false">Engagement_Register!$AP$21*(Assumptions!$C$146*(Assumptions!S$187&gt;=Engagement_Register!$AG$21)+Assumptions!$C$147*(Assumptions!S$187&gt;=Engagement_Register!$AI$21)+Assumptions!$C$148*(Assumptions!S$187&gt;=Engagement_Register!$AH$21))</f>
        <v>90000</v>
      </c>
      <c r="T266" s="62" t="n">
        <f aca="false">Engagement_Register!$AP$21*(Assumptions!$C$146*(Assumptions!T$187&gt;=Engagement_Register!$AG$21)+Assumptions!$C$147*(Assumptions!T$187&gt;=Engagement_Register!$AI$21)+Assumptions!$C$148*(Assumptions!T$187&gt;=Engagement_Register!$AH$21))</f>
        <v>90000</v>
      </c>
      <c r="U266" s="62" t="n">
        <f aca="false">Engagement_Register!$AP$21*(Assumptions!$C$146*(Assumptions!U$187&gt;=Engagement_Register!$AG$21)+Assumptions!$C$147*(Assumptions!U$187&gt;=Engagement_Register!$AI$21)+Assumptions!$C$148*(Assumptions!U$187&gt;=Engagement_Register!$AH$21))</f>
        <v>90000</v>
      </c>
      <c r="V266" s="62" t="n">
        <f aca="false">Engagement_Register!$AP$21*(Assumptions!$C$146*(Assumptions!V$187&gt;=Engagement_Register!$AG$21)+Assumptions!$C$147*(Assumptions!V$187&gt;=Engagement_Register!$AI$21)+Assumptions!$C$148*(Assumptions!V$187&gt;=Engagement_Register!$AH$21))</f>
        <v>90000</v>
      </c>
      <c r="W266" s="62" t="n">
        <f aca="false">Engagement_Register!$AP$21*(Assumptions!$C$146*(Assumptions!W$187&gt;=Engagement_Register!$AG$21)+Assumptions!$C$147*(Assumptions!W$187&gt;=Engagement_Register!$AI$21)+Assumptions!$C$148*(Assumptions!W$187&gt;=Engagement_Register!$AH$21))</f>
        <v>90000</v>
      </c>
      <c r="X266" s="62" t="n">
        <f aca="false">Engagement_Register!$AP$21*(Assumptions!$C$146*(Assumptions!X$187&gt;=Engagement_Register!$AG$21)+Assumptions!$C$147*(Assumptions!X$187&gt;=Engagement_Register!$AI$21)+Assumptions!$C$148*(Assumptions!X$187&gt;=Engagement_Register!$AH$21))</f>
        <v>90000</v>
      </c>
      <c r="Y266" s="62" t="n">
        <f aca="false">Engagement_Register!$AP$21*(Assumptions!$C$146*(Assumptions!Y$187&gt;=Engagement_Register!$AG$21)+Assumptions!$C$147*(Assumptions!Y$187&gt;=Engagement_Register!$AI$21)+Assumptions!$C$148*(Assumptions!Y$187&gt;=Engagement_Register!$AH$21))</f>
        <v>90000</v>
      </c>
      <c r="Z266" s="62" t="n">
        <f aca="false">Engagement_Register!$AP$21*(Assumptions!$C$146*(Assumptions!Z$187&gt;=Engagement_Register!$AG$21)+Assumptions!$C$147*(Assumptions!Z$187&gt;=Engagement_Register!$AI$21)+Assumptions!$C$148*(Assumptions!Z$187&gt;=Engagement_Register!$AH$21))</f>
        <v>90000</v>
      </c>
      <c r="AA266" s="62" t="n">
        <f aca="false">Engagement_Register!$AP$21*(Assumptions!$C$146*(Assumptions!AA$187&gt;=Engagement_Register!$AG$21)+Assumptions!$C$147*(Assumptions!AA$187&gt;=Engagement_Register!$AI$21)+Assumptions!$C$148*(Assumptions!AA$187&gt;=Engagement_Register!$AH$21))</f>
        <v>90000</v>
      </c>
      <c r="AB266" s="62" t="n">
        <f aca="false">Engagement_Register!$AP$21*(Assumptions!$C$146*(Assumptions!AB$187&gt;=Engagement_Register!$AG$21)+Assumptions!$C$147*(Assumptions!AB$187&gt;=Engagement_Register!$AI$21)+Assumptions!$C$148*(Assumptions!AB$187&gt;=Engagement_Register!$AH$21))</f>
        <v>90000</v>
      </c>
    </row>
    <row r="267" customFormat="false" ht="15" hidden="false" customHeight="false" outlineLevel="0" collapsed="false">
      <c r="A267" s="29" t="s">
        <v>838</v>
      </c>
      <c r="B267" s="60" t="s">
        <v>869</v>
      </c>
      <c r="C267" s="61" t="n">
        <f aca="false">SUM(E267:P267)</f>
        <v>90000</v>
      </c>
      <c r="D267" s="61" t="n">
        <f aca="false">SUM(Q267:AB267)</f>
        <v>0</v>
      </c>
      <c r="E267" s="62" t="n">
        <f aca="false">IF(E$5="A",Inputs_Actuals!E90,MAX(0,E266-Engagement_Register!$V$21))</f>
        <v>0</v>
      </c>
      <c r="F267" s="62" t="n">
        <f aca="false">IF(F$5="A",Inputs_Actuals!F90,MAX(0,F266-E268))</f>
        <v>0</v>
      </c>
      <c r="G267" s="62" t="n">
        <f aca="false">IF(G$5="A",Inputs_Actuals!G90,MAX(0,G266-F268))</f>
        <v>0</v>
      </c>
      <c r="H267" s="62" t="n">
        <f aca="false">IF(H$5="A",Inputs_Actuals!H90,MAX(0,H266-G268))</f>
        <v>0</v>
      </c>
      <c r="I267" s="62" t="n">
        <f aca="false">IF(I$5="A",Inputs_Actuals!I90,MAX(0,I266-H268))</f>
        <v>0</v>
      </c>
      <c r="J267" s="62" t="n">
        <f aca="false">IF(J$5="A",Inputs_Actuals!J90,MAX(0,J266-I268))</f>
        <v>0</v>
      </c>
      <c r="K267" s="62" t="n">
        <f aca="false">IF(K$5="A",Inputs_Actuals!K90,MAX(0,K266-J268))</f>
        <v>27000</v>
      </c>
      <c r="L267" s="62" t="n">
        <f aca="false">IF(L$5="A",Inputs_Actuals!L90,MAX(0,L266-K268))</f>
        <v>36000</v>
      </c>
      <c r="M267" s="62" t="n">
        <f aca="false">IF(M$5="A",Inputs_Actuals!M90,MAX(0,M266-L268))</f>
        <v>27000</v>
      </c>
      <c r="N267" s="62" t="n">
        <f aca="false">IF(N$5="A",Inputs_Actuals!N90,MAX(0,N266-M268))</f>
        <v>0</v>
      </c>
      <c r="O267" s="62" t="n">
        <f aca="false">IF(O$5="A",Inputs_Actuals!O90,MAX(0,O266-N268))</f>
        <v>0</v>
      </c>
      <c r="P267" s="62" t="n">
        <f aca="false">IF(P$5="A",Inputs_Actuals!P90,MAX(0,P266-O268))</f>
        <v>0</v>
      </c>
      <c r="Q267" s="62" t="n">
        <f aca="false">IF(Q$5="A",Inputs_Actuals!Q90,MAX(0,Q266-P268))</f>
        <v>0</v>
      </c>
      <c r="R267" s="62" t="n">
        <f aca="false">IF(R$5="A",Inputs_Actuals!R90,MAX(0,R266-Q268))</f>
        <v>0</v>
      </c>
      <c r="S267" s="62" t="n">
        <f aca="false">IF(S$5="A",Inputs_Actuals!S90,MAX(0,S266-R268))</f>
        <v>0</v>
      </c>
      <c r="T267" s="62" t="n">
        <f aca="false">IF(T$5="A",Inputs_Actuals!T90,MAX(0,T266-S268))</f>
        <v>0</v>
      </c>
      <c r="U267" s="62" t="n">
        <f aca="false">IF(U$5="A",Inputs_Actuals!U90,MAX(0,U266-T268))</f>
        <v>0</v>
      </c>
      <c r="V267" s="62" t="n">
        <f aca="false">IF(V$5="A",Inputs_Actuals!V90,MAX(0,V266-U268))</f>
        <v>0</v>
      </c>
      <c r="W267" s="62" t="n">
        <f aca="false">IF(W$5="A",Inputs_Actuals!W90,MAX(0,W266-V268))</f>
        <v>0</v>
      </c>
      <c r="X267" s="62" t="n">
        <f aca="false">IF(X$5="A",Inputs_Actuals!X90,MAX(0,X266-W268))</f>
        <v>0</v>
      </c>
      <c r="Y267" s="62" t="n">
        <f aca="false">IF(Y$5="A",Inputs_Actuals!Y90,MAX(0,Y266-X268))</f>
        <v>0</v>
      </c>
      <c r="Z267" s="62" t="n">
        <f aca="false">IF(Z$5="A",Inputs_Actuals!Z90,MAX(0,Z266-Y268))</f>
        <v>0</v>
      </c>
      <c r="AA267" s="62" t="n">
        <f aca="false">IF(AA$5="A",Inputs_Actuals!AA90,MAX(0,AA266-Z268))</f>
        <v>0</v>
      </c>
      <c r="AB267" s="62" t="n">
        <f aca="false">IF(AB$5="A",Inputs_Actuals!AB90,MAX(0,AB266-AA268))</f>
        <v>0</v>
      </c>
    </row>
    <row r="268" customFormat="false" ht="15" hidden="false" customHeight="false" outlineLevel="0" collapsed="false">
      <c r="A268" s="29" t="s">
        <v>840</v>
      </c>
      <c r="B268" s="60"/>
      <c r="C268" s="61" t="n">
        <f aca="false">P268</f>
        <v>90000</v>
      </c>
      <c r="D268" s="61" t="n">
        <f aca="false">AB268</f>
        <v>90000</v>
      </c>
      <c r="E268" s="62" t="n">
        <f aca="false">Engagement_Register!$V$21+E267</f>
        <v>0</v>
      </c>
      <c r="F268" s="71" t="n">
        <f aca="false">E268+F267</f>
        <v>0</v>
      </c>
      <c r="G268" s="71" t="n">
        <f aca="false">F268+G267</f>
        <v>0</v>
      </c>
      <c r="H268" s="71" t="n">
        <f aca="false">G268+H267</f>
        <v>0</v>
      </c>
      <c r="I268" s="71" t="n">
        <f aca="false">H268+I267</f>
        <v>0</v>
      </c>
      <c r="J268" s="71" t="n">
        <f aca="false">I268+J267</f>
        <v>0</v>
      </c>
      <c r="K268" s="71" t="n">
        <f aca="false">J268+K267</f>
        <v>27000</v>
      </c>
      <c r="L268" s="71" t="n">
        <f aca="false">K268+L267</f>
        <v>63000</v>
      </c>
      <c r="M268" s="71" t="n">
        <f aca="false">L268+M267</f>
        <v>90000</v>
      </c>
      <c r="N268" s="71" t="n">
        <f aca="false">M268+N267</f>
        <v>90000</v>
      </c>
      <c r="O268" s="71" t="n">
        <f aca="false">N268+O267</f>
        <v>90000</v>
      </c>
      <c r="P268" s="71" t="n">
        <f aca="false">O268+P267</f>
        <v>90000</v>
      </c>
      <c r="Q268" s="71" t="n">
        <f aca="false">P268+Q267</f>
        <v>90000</v>
      </c>
      <c r="R268" s="71" t="n">
        <f aca="false">Q268+R267</f>
        <v>90000</v>
      </c>
      <c r="S268" s="71" t="n">
        <f aca="false">R268+S267</f>
        <v>90000</v>
      </c>
      <c r="T268" s="71" t="n">
        <f aca="false">S268+T267</f>
        <v>90000</v>
      </c>
      <c r="U268" s="71" t="n">
        <f aca="false">T268+U267</f>
        <v>90000</v>
      </c>
      <c r="V268" s="71" t="n">
        <f aca="false">U268+V267</f>
        <v>90000</v>
      </c>
      <c r="W268" s="71" t="n">
        <f aca="false">V268+W267</f>
        <v>90000</v>
      </c>
      <c r="X268" s="71" t="n">
        <f aca="false">W268+X267</f>
        <v>90000</v>
      </c>
      <c r="Y268" s="71" t="n">
        <f aca="false">X268+Y267</f>
        <v>90000</v>
      </c>
      <c r="Z268" s="71" t="n">
        <f aca="false">Y268+Z267</f>
        <v>90000</v>
      </c>
      <c r="AA268" s="71" t="n">
        <f aca="false">Z268+AA267</f>
        <v>90000</v>
      </c>
      <c r="AB268" s="71" t="n">
        <f aca="false">AA268+AB267</f>
        <v>90000</v>
      </c>
    </row>
    <row r="269" customFormat="false" ht="15" hidden="false" customHeight="false" outlineLevel="0" collapsed="false">
      <c r="A269" s="29" t="s">
        <v>841</v>
      </c>
      <c r="B269" s="60" t="s">
        <v>842</v>
      </c>
      <c r="C269" s="61" t="n">
        <f aca="false">SUM(E269:P269)</f>
        <v>3768.07</v>
      </c>
      <c r="D269" s="61" t="n">
        <f aca="false">SUM(Q269:AB269)</f>
        <v>0</v>
      </c>
      <c r="E269" s="62" t="n">
        <f aca="false">IF(E$5="A",Inputs_Actuals!E91,E23*Engagement_Register!$N$21*Assumptions!E$195)</f>
        <v>0</v>
      </c>
      <c r="F269" s="62" t="n">
        <f aca="false">IF(F$5="A",Inputs_Actuals!F91,F23*Engagement_Register!$N$21*Assumptions!F$195)</f>
        <v>0</v>
      </c>
      <c r="G269" s="62" t="n">
        <f aca="false">IF(G$5="A",Inputs_Actuals!G91,G23*Engagement_Register!$N$21*Assumptions!G$195)</f>
        <v>0</v>
      </c>
      <c r="H269" s="62" t="n">
        <f aca="false">IF(H$5="A",Inputs_Actuals!H91,H23*Engagement_Register!$N$21*Assumptions!H$195)</f>
        <v>0</v>
      </c>
      <c r="I269" s="62" t="n">
        <f aca="false">IF(I$5="A",Inputs_Actuals!I91,I23*Engagement_Register!$N$21*Assumptions!I$195)</f>
        <v>0</v>
      </c>
      <c r="J269" s="62" t="n">
        <f aca="false">IF(J$5="A",Inputs_Actuals!J91,J23*Engagement_Register!$N$21*Assumptions!J$195)</f>
        <v>0</v>
      </c>
      <c r="K269" s="62" t="n">
        <f aca="false">IF(K$5="A",Inputs_Actuals!K91,K23*Engagement_Register!$N$21*Assumptions!K$195)</f>
        <v>1071.25</v>
      </c>
      <c r="L269" s="62" t="n">
        <f aca="false">IF(L$5="A",Inputs_Actuals!L91,L23*Engagement_Register!$N$21*Assumptions!L$195)</f>
        <v>1155.42</v>
      </c>
      <c r="M269" s="62" t="n">
        <f aca="false">IF(M$5="A",Inputs_Actuals!M91,M23*Engagement_Register!$N$21*Assumptions!M$195)</f>
        <v>1541.4</v>
      </c>
      <c r="N269" s="62" t="n">
        <f aca="false">IF(N$5="A",Inputs_Actuals!N91,N23*Engagement_Register!$N$21*Assumptions!N$195)</f>
        <v>0</v>
      </c>
      <c r="O269" s="62" t="n">
        <f aca="false">IF(O$5="A",Inputs_Actuals!O91,O23*Engagement_Register!$N$21*Assumptions!O$195)</f>
        <v>0</v>
      </c>
      <c r="P269" s="62" t="n">
        <f aca="false">IF(P$5="A",Inputs_Actuals!P91,P23*Engagement_Register!$N$21*Assumptions!P$195)</f>
        <v>0</v>
      </c>
      <c r="Q269" s="62" t="n">
        <f aca="false">IF(Q$5="A",Inputs_Actuals!Q91,Q23*Engagement_Register!$N$21*Assumptions!Q$195)</f>
        <v>0</v>
      </c>
      <c r="R269" s="62" t="n">
        <f aca="false">IF(R$5="A",Inputs_Actuals!R91,R23*Engagement_Register!$N$21*Assumptions!R$195)</f>
        <v>0</v>
      </c>
      <c r="S269" s="62" t="n">
        <f aca="false">IF(S$5="A",Inputs_Actuals!S91,S23*Engagement_Register!$N$21*Assumptions!S$195)</f>
        <v>0</v>
      </c>
      <c r="T269" s="62" t="n">
        <f aca="false">IF(T$5="A",Inputs_Actuals!T91,T23*Engagement_Register!$N$21*Assumptions!T$195)</f>
        <v>0</v>
      </c>
      <c r="U269" s="62" t="n">
        <f aca="false">IF(U$5="A",Inputs_Actuals!U91,U23*Engagement_Register!$N$21*Assumptions!U$195)</f>
        <v>0</v>
      </c>
      <c r="V269" s="62" t="n">
        <f aca="false">IF(V$5="A",Inputs_Actuals!V91,V23*Engagement_Register!$N$21*Assumptions!V$195)</f>
        <v>0</v>
      </c>
      <c r="W269" s="62" t="n">
        <f aca="false">IF(W$5="A",Inputs_Actuals!W91,W23*Engagement_Register!$N$21*Assumptions!W$195)</f>
        <v>0</v>
      </c>
      <c r="X269" s="62" t="n">
        <f aca="false">IF(X$5="A",Inputs_Actuals!X91,X23*Engagement_Register!$N$21*Assumptions!X$195)</f>
        <v>0</v>
      </c>
      <c r="Y269" s="62" t="n">
        <f aca="false">IF(Y$5="A",Inputs_Actuals!Y91,Y23*Engagement_Register!$N$21*Assumptions!Y$195)</f>
        <v>0</v>
      </c>
      <c r="Z269" s="62" t="n">
        <f aca="false">IF(Z$5="A",Inputs_Actuals!Z91,Z23*Engagement_Register!$N$21*Assumptions!Z$195)</f>
        <v>0</v>
      </c>
      <c r="AA269" s="62" t="n">
        <f aca="false">IF(AA$5="A",Inputs_Actuals!AA91,AA23*Engagement_Register!$N$21*Assumptions!AA$195)</f>
        <v>0</v>
      </c>
      <c r="AB269" s="62" t="n">
        <f aca="false">IF(AB$5="A",Inputs_Actuals!AB91,AB23*Engagement_Register!$N$21*Assumptions!AB$195)</f>
        <v>0</v>
      </c>
    </row>
    <row r="270" customFormat="false" ht="15" hidden="false" customHeight="false" outlineLevel="0" collapsed="false">
      <c r="A270" s="29" t="s">
        <v>847</v>
      </c>
      <c r="B270" s="60" t="s">
        <v>848</v>
      </c>
      <c r="C270" s="61" t="n">
        <f aca="false">P270</f>
        <v>0</v>
      </c>
      <c r="D270" s="61" t="n">
        <f aca="false">AB270</f>
        <v>0</v>
      </c>
      <c r="E270" s="62" t="n">
        <f aca="false">Engagement_Register!$X$21+E265-E267</f>
        <v>0</v>
      </c>
      <c r="F270" s="71" t="n">
        <f aca="false">E270+F265-F267</f>
        <v>0</v>
      </c>
      <c r="G270" s="71" t="n">
        <f aca="false">F270+G265-G267</f>
        <v>0</v>
      </c>
      <c r="H270" s="71" t="n">
        <f aca="false">G270+H265-H267</f>
        <v>0</v>
      </c>
      <c r="I270" s="71" t="n">
        <f aca="false">H270+I265-I267</f>
        <v>0</v>
      </c>
      <c r="J270" s="71" t="n">
        <f aca="false">I270+J265-J267</f>
        <v>0</v>
      </c>
      <c r="K270" s="71" t="n">
        <f aca="false">J270+K265-K267</f>
        <v>4725</v>
      </c>
      <c r="L270" s="71" t="n">
        <f aca="false">K270+L265-L267</f>
        <v>-8138.3</v>
      </c>
      <c r="M270" s="71" t="n">
        <f aca="false">L270+M265-M267</f>
        <v>0</v>
      </c>
      <c r="N270" s="71" t="n">
        <f aca="false">M270+N265-N267</f>
        <v>0</v>
      </c>
      <c r="O270" s="71" t="n">
        <f aca="false">N270+O265-O267</f>
        <v>0</v>
      </c>
      <c r="P270" s="71" t="n">
        <f aca="false">O270+P265-P267</f>
        <v>0</v>
      </c>
      <c r="Q270" s="71" t="n">
        <f aca="false">P270+Q265-Q267</f>
        <v>0</v>
      </c>
      <c r="R270" s="71" t="n">
        <f aca="false">Q270+R265-R267</f>
        <v>0</v>
      </c>
      <c r="S270" s="71" t="n">
        <f aca="false">R270+S265-S267</f>
        <v>0</v>
      </c>
      <c r="T270" s="71" t="n">
        <f aca="false">S270+T265-T267</f>
        <v>0</v>
      </c>
      <c r="U270" s="71" t="n">
        <f aca="false">T270+U265-U267</f>
        <v>0</v>
      </c>
      <c r="V270" s="71" t="n">
        <f aca="false">U270+V265-V267</f>
        <v>0</v>
      </c>
      <c r="W270" s="71" t="n">
        <f aca="false">V270+W265-W267</f>
        <v>0</v>
      </c>
      <c r="X270" s="71" t="n">
        <f aca="false">W270+X265-X267</f>
        <v>0</v>
      </c>
      <c r="Y270" s="71" t="n">
        <f aca="false">X270+Y265-Y267</f>
        <v>0</v>
      </c>
      <c r="Z270" s="71" t="n">
        <f aca="false">Y270+Z265-Z267</f>
        <v>0</v>
      </c>
      <c r="AA270" s="71" t="n">
        <f aca="false">Z270+AA265-AA267</f>
        <v>0</v>
      </c>
      <c r="AB270" s="71" t="n">
        <f aca="false">AA270+AB265-AB267</f>
        <v>0</v>
      </c>
    </row>
    <row r="271" customFormat="false" ht="15" hidden="false" customHeight="false" outlineLevel="0" collapsed="false">
      <c r="A271" s="29" t="s">
        <v>849</v>
      </c>
      <c r="B271" s="60" t="s">
        <v>850</v>
      </c>
      <c r="C271" s="61" t="n">
        <f aca="false">P271</f>
        <v>0</v>
      </c>
      <c r="D271" s="61" t="n">
        <f aca="false">AB271</f>
        <v>0</v>
      </c>
      <c r="E271" s="62" t="n">
        <f aca="false">MAX(0,Engagement_Register!$AP$21-E264)</f>
        <v>90000</v>
      </c>
      <c r="F271" s="62" t="n">
        <f aca="false">MAX(0,Engagement_Register!$AP$21-F264)</f>
        <v>90000</v>
      </c>
      <c r="G271" s="62" t="n">
        <f aca="false">MAX(0,Engagement_Register!$AP$21-G264)</f>
        <v>90000</v>
      </c>
      <c r="H271" s="62" t="n">
        <f aca="false">MAX(0,Engagement_Register!$AP$21-H264)</f>
        <v>90000</v>
      </c>
      <c r="I271" s="62" t="n">
        <f aca="false">MAX(0,Engagement_Register!$AP$21-I264)</f>
        <v>90000</v>
      </c>
      <c r="J271" s="62" t="n">
        <f aca="false">MAX(0,Engagement_Register!$AP$21-J264)</f>
        <v>90000</v>
      </c>
      <c r="K271" s="62" t="n">
        <f aca="false">MAX(0,Engagement_Register!$AP$21-K264)</f>
        <v>58275</v>
      </c>
      <c r="L271" s="62" t="n">
        <f aca="false">MAX(0,Engagement_Register!$AP$21-L264)</f>
        <v>35138.3</v>
      </c>
      <c r="M271" s="62" t="n">
        <f aca="false">MAX(0,Engagement_Register!$AP$21-M264)</f>
        <v>0</v>
      </c>
      <c r="N271" s="62" t="n">
        <f aca="false">MAX(0,Engagement_Register!$AP$21-N264)</f>
        <v>0</v>
      </c>
      <c r="O271" s="62" t="n">
        <f aca="false">MAX(0,Engagement_Register!$AP$21-O264)</f>
        <v>0</v>
      </c>
      <c r="P271" s="62" t="n">
        <f aca="false">MAX(0,Engagement_Register!$AP$21-P264)</f>
        <v>0</v>
      </c>
      <c r="Q271" s="62" t="n">
        <f aca="false">MAX(0,Engagement_Register!$AP$21-Q264)</f>
        <v>0</v>
      </c>
      <c r="R271" s="62" t="n">
        <f aca="false">MAX(0,Engagement_Register!$AP$21-R264)</f>
        <v>0</v>
      </c>
      <c r="S271" s="62" t="n">
        <f aca="false">MAX(0,Engagement_Register!$AP$21-S264)</f>
        <v>0</v>
      </c>
      <c r="T271" s="62" t="n">
        <f aca="false">MAX(0,Engagement_Register!$AP$21-T264)</f>
        <v>0</v>
      </c>
      <c r="U271" s="62" t="n">
        <f aca="false">MAX(0,Engagement_Register!$AP$21-U264)</f>
        <v>0</v>
      </c>
      <c r="V271" s="62" t="n">
        <f aca="false">MAX(0,Engagement_Register!$AP$21-V264)</f>
        <v>0</v>
      </c>
      <c r="W271" s="62" t="n">
        <f aca="false">MAX(0,Engagement_Register!$AP$21-W264)</f>
        <v>0</v>
      </c>
      <c r="X271" s="62" t="n">
        <f aca="false">MAX(0,Engagement_Register!$AP$21-X264)</f>
        <v>0</v>
      </c>
      <c r="Y271" s="62" t="n">
        <f aca="false">MAX(0,Engagement_Register!$AP$21-Y264)</f>
        <v>0</v>
      </c>
      <c r="Z271" s="62" t="n">
        <f aca="false">MAX(0,Engagement_Register!$AP$21-Z264)</f>
        <v>0</v>
      </c>
      <c r="AA271" s="62" t="n">
        <f aca="false">MAX(0,Engagement_Register!$AP$21-AA264)</f>
        <v>0</v>
      </c>
      <c r="AB271" s="62" t="n">
        <f aca="false">MAX(0,Engagement_Register!$AP$21-AB264)</f>
        <v>0</v>
      </c>
    </row>
    <row r="272" customFormat="false" ht="15" hidden="false" customHeight="false" outlineLevel="0" collapsed="false">
      <c r="A272" s="29" t="s">
        <v>861</v>
      </c>
      <c r="B272" s="60" t="s">
        <v>862</v>
      </c>
      <c r="E272" s="62" t="n">
        <f aca="false">IF(E$5="A",ROUND(E264-E261*Engagement_Register!$AP$21,0),0)</f>
        <v>0</v>
      </c>
      <c r="F272" s="62" t="n">
        <f aca="false">IF(F$5="A",ROUND(F264-F261*Engagement_Register!$AP$21,0),0)</f>
        <v>0</v>
      </c>
      <c r="G272" s="62" t="n">
        <f aca="false">IF(G$5="A",ROUND(G264-G261*Engagement_Register!$AP$21,0),0)</f>
        <v>0</v>
      </c>
      <c r="H272" s="62" t="n">
        <f aca="false">IF(H$5="A",ROUND(H264-H261*Engagement_Register!$AP$21,0),0)</f>
        <v>0</v>
      </c>
      <c r="I272" s="62" t="n">
        <f aca="false">IF(I$5="A",ROUND(I264-I261*Engagement_Register!$AP$21,0),0)</f>
        <v>0</v>
      </c>
      <c r="J272" s="62" t="n">
        <f aca="false">IF(J$5="A",ROUND(J264-J261*Engagement_Register!$AP$21,0),0)</f>
        <v>0</v>
      </c>
      <c r="K272" s="62" t="n">
        <f aca="false">IF(K$5="A",ROUND(K264-K261*Engagement_Register!$AP$21,0),0)</f>
        <v>0</v>
      </c>
      <c r="L272" s="62" t="n">
        <f aca="false">IF(L$5="A",ROUND(L264-L261*Engagement_Register!$AP$21,0),0)</f>
        <v>-0</v>
      </c>
      <c r="M272" s="62" t="n">
        <f aca="false">IF(M$5="A",ROUND(M264-M261*Engagement_Register!$AP$21,0),0)</f>
        <v>0</v>
      </c>
      <c r="N272" s="62" t="n">
        <f aca="false">IF(N$5="A",ROUND(N264-N261*Engagement_Register!$AP$21,0),0)</f>
        <v>0</v>
      </c>
      <c r="O272" s="62" t="n">
        <f aca="false">IF(O$5="A",ROUND(O264-O261*Engagement_Register!$AP$21,0),0)</f>
        <v>0</v>
      </c>
      <c r="P272" s="62" t="n">
        <f aca="false">IF(P$5="A",ROUND(P264-P261*Engagement_Register!$AP$21,0),0)</f>
        <v>0</v>
      </c>
      <c r="Q272" s="62" t="n">
        <f aca="false">IF(Q$5="A",ROUND(Q264-Q261*Engagement_Register!$AP$21,0),0)</f>
        <v>0</v>
      </c>
      <c r="R272" s="62" t="n">
        <f aca="false">IF(R$5="A",ROUND(R264-R261*Engagement_Register!$AP$21,0),0)</f>
        <v>0</v>
      </c>
      <c r="S272" s="62" t="n">
        <f aca="false">IF(S$5="A",ROUND(S264-S261*Engagement_Register!$AP$21,0),0)</f>
        <v>0</v>
      </c>
      <c r="T272" s="62" t="n">
        <f aca="false">IF(T$5="A",ROUND(T264-T261*Engagement_Register!$AP$21,0),0)</f>
        <v>0</v>
      </c>
      <c r="U272" s="62" t="n">
        <f aca="false">IF(U$5="A",ROUND(U264-U261*Engagement_Register!$AP$21,0),0)</f>
        <v>0</v>
      </c>
      <c r="V272" s="62" t="n">
        <f aca="false">IF(V$5="A",ROUND(V264-V261*Engagement_Register!$AP$21,0),0)</f>
        <v>0</v>
      </c>
      <c r="W272" s="62" t="n">
        <f aca="false">IF(W$5="A",ROUND(W264-W261*Engagement_Register!$AP$21,0),0)</f>
        <v>0</v>
      </c>
      <c r="X272" s="62" t="n">
        <f aca="false">IF(X$5="A",ROUND(X264-X261*Engagement_Register!$AP$21,0),0)</f>
        <v>0</v>
      </c>
      <c r="Y272" s="62" t="n">
        <f aca="false">IF(Y$5="A",ROUND(Y264-Y261*Engagement_Register!$AP$21,0),0)</f>
        <v>0</v>
      </c>
      <c r="Z272" s="62" t="n">
        <f aca="false">IF(Z$5="A",ROUND(Z264-Z261*Engagement_Register!$AP$21,0),0)</f>
        <v>0</v>
      </c>
      <c r="AA272" s="62" t="n">
        <f aca="false">IF(AA$5="A",ROUND(AA264-AA261*Engagement_Register!$AP$21,0),0)</f>
        <v>0</v>
      </c>
      <c r="AB272" s="62" t="n">
        <f aca="false">IF(AB$5="A",ROUND(AB264-AB261*Engagement_Register!$AP$21,0),0)</f>
        <v>0</v>
      </c>
    </row>
    <row r="274" customFormat="false" ht="15" hidden="false" customHeight="false" outlineLevel="0" collapsed="false">
      <c r="A274" s="23" t="s">
        <v>881</v>
      </c>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row>
    <row r="275" customFormat="false" ht="15" hidden="false" customHeight="false" outlineLevel="0" collapsed="false">
      <c r="A275" s="29" t="s">
        <v>736</v>
      </c>
      <c r="B275" s="60" t="s">
        <v>832</v>
      </c>
      <c r="C275" s="66" t="n">
        <f aca="false">P275</f>
        <v>497.085</v>
      </c>
      <c r="D275" s="66" t="n">
        <f aca="false">AB275</f>
        <v>497.085</v>
      </c>
      <c r="E275" s="67" t="n">
        <f aca="false">Engagement_Register!$T$22+E24</f>
        <v>0</v>
      </c>
      <c r="F275" s="72" t="n">
        <f aca="false">E275+F24</f>
        <v>0</v>
      </c>
      <c r="G275" s="72" t="n">
        <f aca="false">F275+G24</f>
        <v>0</v>
      </c>
      <c r="H275" s="72" t="n">
        <f aca="false">G275+H24</f>
        <v>0</v>
      </c>
      <c r="I275" s="72" t="n">
        <f aca="false">H275+I24</f>
        <v>0</v>
      </c>
      <c r="J275" s="72" t="n">
        <f aca="false">I275+J24</f>
        <v>0</v>
      </c>
      <c r="K275" s="72" t="n">
        <f aca="false">J275+K24</f>
        <v>0</v>
      </c>
      <c r="L275" s="72" t="n">
        <f aca="false">K275+L24</f>
        <v>138.3</v>
      </c>
      <c r="M275" s="72" t="n">
        <f aca="false">L275+M24</f>
        <v>321.04116</v>
      </c>
      <c r="N275" s="72" t="n">
        <f aca="false">M275+N24</f>
        <v>497.085</v>
      </c>
      <c r="O275" s="72" t="n">
        <f aca="false">N275+O24</f>
        <v>497.085</v>
      </c>
      <c r="P275" s="72" t="n">
        <f aca="false">O275+P24</f>
        <v>497.085</v>
      </c>
      <c r="Q275" s="72" t="n">
        <f aca="false">P275+Q24</f>
        <v>497.085</v>
      </c>
      <c r="R275" s="72" t="n">
        <f aca="false">Q275+R24</f>
        <v>497.085</v>
      </c>
      <c r="S275" s="72" t="n">
        <f aca="false">R275+S24</f>
        <v>497.085</v>
      </c>
      <c r="T275" s="72" t="n">
        <f aca="false">S275+T24</f>
        <v>497.085</v>
      </c>
      <c r="U275" s="72" t="n">
        <f aca="false">T275+U24</f>
        <v>497.085</v>
      </c>
      <c r="V275" s="72" t="n">
        <f aca="false">U275+V24</f>
        <v>497.085</v>
      </c>
      <c r="W275" s="72" t="n">
        <f aca="false">V275+W24</f>
        <v>497.085</v>
      </c>
      <c r="X275" s="72" t="n">
        <f aca="false">W275+X24</f>
        <v>497.085</v>
      </c>
      <c r="Y275" s="72" t="n">
        <f aca="false">X275+Y24</f>
        <v>497.085</v>
      </c>
      <c r="Z275" s="72" t="n">
        <f aca="false">Y275+Z24</f>
        <v>497.085</v>
      </c>
      <c r="AA275" s="72" t="n">
        <f aca="false">Z275+AA24</f>
        <v>497.085</v>
      </c>
      <c r="AB275" s="72" t="n">
        <f aca="false">AA275+AB24</f>
        <v>497.085</v>
      </c>
    </row>
    <row r="276" customFormat="false" ht="15" hidden="false" customHeight="false" outlineLevel="0" collapsed="false">
      <c r="A276" s="29" t="s">
        <v>852</v>
      </c>
      <c r="B276" s="60" t="s">
        <v>853</v>
      </c>
      <c r="C276" s="66" t="n">
        <f aca="false">P276</f>
        <v>497.085</v>
      </c>
      <c r="D276" s="66" t="n">
        <f aca="false">AB276</f>
        <v>497.085</v>
      </c>
      <c r="E276" s="67" t="n">
        <f aca="false">IF(E$5="A",IF(E275+N(Inputs_Actuals!E93)&lt;=0,Engagement_Register!$AM$22,E275+N(Inputs_Actuals!E93)),Engagement_Register!$AM$22)</f>
        <v>497.085</v>
      </c>
      <c r="F276" s="67" t="n">
        <f aca="false">IF(F$5="A",IF(F275+N(Inputs_Actuals!F93)&lt;=0,Engagement_Register!$AM$22,F275+N(Inputs_Actuals!F93)),Engagement_Register!$AM$22)</f>
        <v>497.085</v>
      </c>
      <c r="G276" s="67" t="n">
        <f aca="false">IF(G$5="A",IF(G275+N(Inputs_Actuals!G93)&lt;=0,Engagement_Register!$AM$22,G275+N(Inputs_Actuals!G93)),Engagement_Register!$AM$22)</f>
        <v>497.085</v>
      </c>
      <c r="H276" s="67" t="n">
        <f aca="false">IF(H$5="A",IF(H275+N(Inputs_Actuals!H93)&lt;=0,Engagement_Register!$AM$22,H275+N(Inputs_Actuals!H93)),Engagement_Register!$AM$22)</f>
        <v>497.085</v>
      </c>
      <c r="I276" s="67" t="n">
        <f aca="false">IF(I$5="A",IF(I275+N(Inputs_Actuals!I93)&lt;=0,Engagement_Register!$AM$22,I275+N(Inputs_Actuals!I93)),Engagement_Register!$AM$22)</f>
        <v>497.085</v>
      </c>
      <c r="J276" s="67" t="n">
        <f aca="false">IF(J$5="A",IF(J275+N(Inputs_Actuals!J93)&lt;=0,Engagement_Register!$AM$22,J275+N(Inputs_Actuals!J93)),Engagement_Register!$AM$22)</f>
        <v>497.085</v>
      </c>
      <c r="K276" s="67" t="n">
        <f aca="false">IF(K$5="A",IF(K275+N(Inputs_Actuals!K93)&lt;=0,Engagement_Register!$AM$22,K275+N(Inputs_Actuals!K93)),Engagement_Register!$AM$22)</f>
        <v>497.085</v>
      </c>
      <c r="L276" s="67" t="n">
        <f aca="false">IF(L$5="A",IF(L275+N(Inputs_Actuals!L93)&lt;=0,Engagement_Register!$AM$22,L275+N(Inputs_Actuals!L93)),Engagement_Register!$AM$22)</f>
        <v>480</v>
      </c>
      <c r="M276" s="67" t="n">
        <f aca="false">IF(M$5="A",IF(M275+N(Inputs_Actuals!M93)&lt;=0,Engagement_Register!$AM$22,M275+N(Inputs_Actuals!M93)),Engagement_Register!$AM$22)</f>
        <v>497.085</v>
      </c>
      <c r="N276" s="67" t="n">
        <f aca="false">IF(N$5="A",IF(N275+N(Inputs_Actuals!N93)&lt;=0,Engagement_Register!$AM$22,N275+N(Inputs_Actuals!N93)),Engagement_Register!$AM$22)</f>
        <v>497.085</v>
      </c>
      <c r="O276" s="67" t="n">
        <f aca="false">IF(O$5="A",IF(O275+N(Inputs_Actuals!O93)&lt;=0,Engagement_Register!$AM$22,O275+N(Inputs_Actuals!O93)),Engagement_Register!$AM$22)</f>
        <v>497.085</v>
      </c>
      <c r="P276" s="67" t="n">
        <f aca="false">IF(P$5="A",IF(P275+N(Inputs_Actuals!P93)&lt;=0,Engagement_Register!$AM$22,P275+N(Inputs_Actuals!P93)),Engagement_Register!$AM$22)</f>
        <v>497.085</v>
      </c>
      <c r="Q276" s="67" t="n">
        <f aca="false">IF(Q$5="A",IF(Q275+N(Inputs_Actuals!Q93)&lt;=0,Engagement_Register!$AM$22,Q275+N(Inputs_Actuals!Q93)),Engagement_Register!$AM$22)</f>
        <v>497.085</v>
      </c>
      <c r="R276" s="67" t="n">
        <f aca="false">IF(R$5="A",IF(R275+N(Inputs_Actuals!R93)&lt;=0,Engagement_Register!$AM$22,R275+N(Inputs_Actuals!R93)),Engagement_Register!$AM$22)</f>
        <v>497.085</v>
      </c>
      <c r="S276" s="67" t="n">
        <f aca="false">IF(S$5="A",IF(S275+N(Inputs_Actuals!S93)&lt;=0,Engagement_Register!$AM$22,S275+N(Inputs_Actuals!S93)),Engagement_Register!$AM$22)</f>
        <v>497.085</v>
      </c>
      <c r="T276" s="67" t="n">
        <f aca="false">IF(T$5="A",IF(T275+N(Inputs_Actuals!T93)&lt;=0,Engagement_Register!$AM$22,T275+N(Inputs_Actuals!T93)),Engagement_Register!$AM$22)</f>
        <v>497.085</v>
      </c>
      <c r="U276" s="67" t="n">
        <f aca="false">IF(U$5="A",IF(U275+N(Inputs_Actuals!U93)&lt;=0,Engagement_Register!$AM$22,U275+N(Inputs_Actuals!U93)),Engagement_Register!$AM$22)</f>
        <v>497.085</v>
      </c>
      <c r="V276" s="67" t="n">
        <f aca="false">IF(V$5="A",IF(V275+N(Inputs_Actuals!V93)&lt;=0,Engagement_Register!$AM$22,V275+N(Inputs_Actuals!V93)),Engagement_Register!$AM$22)</f>
        <v>497.085</v>
      </c>
      <c r="W276" s="67" t="n">
        <f aca="false">IF(W$5="A",IF(W275+N(Inputs_Actuals!W93)&lt;=0,Engagement_Register!$AM$22,W275+N(Inputs_Actuals!W93)),Engagement_Register!$AM$22)</f>
        <v>497.085</v>
      </c>
      <c r="X276" s="67" t="n">
        <f aca="false">IF(X$5="A",IF(X275+N(Inputs_Actuals!X93)&lt;=0,Engagement_Register!$AM$22,X275+N(Inputs_Actuals!X93)),Engagement_Register!$AM$22)</f>
        <v>497.085</v>
      </c>
      <c r="Y276" s="67" t="n">
        <f aca="false">IF(Y$5="A",IF(Y275+N(Inputs_Actuals!Y93)&lt;=0,Engagement_Register!$AM$22,Y275+N(Inputs_Actuals!Y93)),Engagement_Register!$AM$22)</f>
        <v>497.085</v>
      </c>
      <c r="Z276" s="67" t="n">
        <f aca="false">IF(Z$5="A",IF(Z275+N(Inputs_Actuals!Z93)&lt;=0,Engagement_Register!$AM$22,Z275+N(Inputs_Actuals!Z93)),Engagement_Register!$AM$22)</f>
        <v>497.085</v>
      </c>
      <c r="AA276" s="67" t="n">
        <f aca="false">IF(AA$5="A",IF(AA275+N(Inputs_Actuals!AA93)&lt;=0,Engagement_Register!$AM$22,AA275+N(Inputs_Actuals!AA93)),Engagement_Register!$AM$22)</f>
        <v>497.085</v>
      </c>
      <c r="AB276" s="67" t="n">
        <f aca="false">IF(AB$5="A",IF(AB275+N(Inputs_Actuals!AB93)&lt;=0,Engagement_Register!$AM$22,AB275+N(Inputs_Actuals!AB93)),Engagement_Register!$AM$22)</f>
        <v>497.085</v>
      </c>
    </row>
    <row r="277" customFormat="false" ht="15" hidden="false" customHeight="false" outlineLevel="0" collapsed="false">
      <c r="A277" s="29" t="s">
        <v>854</v>
      </c>
      <c r="B277" s="60" t="s">
        <v>855</v>
      </c>
      <c r="C277" s="63" t="n">
        <f aca="false">P277</f>
        <v>1</v>
      </c>
      <c r="D277" s="63" t="n">
        <f aca="false">AB277</f>
        <v>1</v>
      </c>
      <c r="E277" s="64" t="n">
        <f aca="false">IF(E276&lt;=0,0,MIN(1,E275/E276))</f>
        <v>0</v>
      </c>
      <c r="F277" s="64" t="n">
        <f aca="false">IF(F276&lt;=0,0,MIN(1,F275/F276))</f>
        <v>0</v>
      </c>
      <c r="G277" s="64" t="n">
        <f aca="false">IF(G276&lt;=0,0,MIN(1,G275/G276))</f>
        <v>0</v>
      </c>
      <c r="H277" s="64" t="n">
        <f aca="false">IF(H276&lt;=0,0,MIN(1,H275/H276))</f>
        <v>0</v>
      </c>
      <c r="I277" s="64" t="n">
        <f aca="false">IF(I276&lt;=0,0,MIN(1,I275/I276))</f>
        <v>0</v>
      </c>
      <c r="J277" s="64" t="n">
        <f aca="false">IF(J276&lt;=0,0,MIN(1,J275/J276))</f>
        <v>0</v>
      </c>
      <c r="K277" s="64" t="n">
        <f aca="false">IF(K276&lt;=0,0,MIN(1,K275/K276))</f>
        <v>0</v>
      </c>
      <c r="L277" s="64" t="n">
        <f aca="false">IF(L276&lt;=0,0,MIN(1,L275/L276))</f>
        <v>0.288125</v>
      </c>
      <c r="M277" s="64" t="n">
        <f aca="false">IF(M276&lt;=0,0,MIN(1,M275/M276))</f>
        <v>0.645847611575485</v>
      </c>
      <c r="N277" s="64" t="n">
        <f aca="false">IF(N276&lt;=0,0,MIN(1,N275/N276))</f>
        <v>1</v>
      </c>
      <c r="O277" s="64" t="n">
        <f aca="false">IF(O276&lt;=0,0,MIN(1,O275/O276))</f>
        <v>1</v>
      </c>
      <c r="P277" s="64" t="n">
        <f aca="false">IF(P276&lt;=0,0,MIN(1,P275/P276))</f>
        <v>1</v>
      </c>
      <c r="Q277" s="64" t="n">
        <f aca="false">IF(Q276&lt;=0,0,MIN(1,Q275/Q276))</f>
        <v>1</v>
      </c>
      <c r="R277" s="64" t="n">
        <f aca="false">IF(R276&lt;=0,0,MIN(1,R275/R276))</f>
        <v>1</v>
      </c>
      <c r="S277" s="64" t="n">
        <f aca="false">IF(S276&lt;=0,0,MIN(1,S275/S276))</f>
        <v>1</v>
      </c>
      <c r="T277" s="64" t="n">
        <f aca="false">IF(T276&lt;=0,0,MIN(1,T275/T276))</f>
        <v>1</v>
      </c>
      <c r="U277" s="64" t="n">
        <f aca="false">IF(U276&lt;=0,0,MIN(1,U275/U276))</f>
        <v>1</v>
      </c>
      <c r="V277" s="64" t="n">
        <f aca="false">IF(V276&lt;=0,0,MIN(1,V275/V276))</f>
        <v>1</v>
      </c>
      <c r="W277" s="64" t="n">
        <f aca="false">IF(W276&lt;=0,0,MIN(1,W275/W276))</f>
        <v>1</v>
      </c>
      <c r="X277" s="64" t="n">
        <f aca="false">IF(X276&lt;=0,0,MIN(1,X275/X276))</f>
        <v>1</v>
      </c>
      <c r="Y277" s="64" t="n">
        <f aca="false">IF(Y276&lt;=0,0,MIN(1,Y275/Y276))</f>
        <v>1</v>
      </c>
      <c r="Z277" s="64" t="n">
        <f aca="false">IF(Z276&lt;=0,0,MIN(1,Z275/Z276))</f>
        <v>1</v>
      </c>
      <c r="AA277" s="64" t="n">
        <f aca="false">IF(AA276&lt;=0,0,MIN(1,AA275/AA276))</f>
        <v>1</v>
      </c>
      <c r="AB277" s="64" t="n">
        <f aca="false">IF(AB276&lt;=0,0,MIN(1,AB275/AB276))</f>
        <v>1</v>
      </c>
    </row>
    <row r="278" customFormat="false" ht="15" hidden="false" customHeight="false" outlineLevel="0" collapsed="false">
      <c r="A278" s="29" t="s">
        <v>833</v>
      </c>
      <c r="B278" s="60" t="s">
        <v>834</v>
      </c>
      <c r="C278" s="61" t="n">
        <f aca="false">SUM(E278:P278)</f>
        <v>102697.761</v>
      </c>
      <c r="D278" s="61" t="n">
        <f aca="false">SUM(Q278:AB278)</f>
        <v>0</v>
      </c>
      <c r="E278" s="62" t="n">
        <f aca="false">E24*Engagement_Register!$AD$22*Assumptions!E$194</f>
        <v>0</v>
      </c>
      <c r="F278" s="62" t="n">
        <f aca="false">F24*Engagement_Register!$AD$22*Assumptions!F$194</f>
        <v>0</v>
      </c>
      <c r="G278" s="62" t="n">
        <f aca="false">G24*Engagement_Register!$AD$22*Assumptions!G$194</f>
        <v>0</v>
      </c>
      <c r="H278" s="62" t="n">
        <f aca="false">H24*Engagement_Register!$AD$22*Assumptions!H$194</f>
        <v>0</v>
      </c>
      <c r="I278" s="62" t="n">
        <f aca="false">I24*Engagement_Register!$AD$22*Assumptions!I$194</f>
        <v>0</v>
      </c>
      <c r="J278" s="62" t="n">
        <f aca="false">J24*Engagement_Register!$AD$22*Assumptions!J$194</f>
        <v>0</v>
      </c>
      <c r="K278" s="62" t="n">
        <f aca="false">K24*Engagement_Register!$AD$22*Assumptions!K$194</f>
        <v>0</v>
      </c>
      <c r="L278" s="62" t="n">
        <f aca="false">L24*Engagement_Register!$AD$22*Assumptions!L$194</f>
        <v>28572.78</v>
      </c>
      <c r="M278" s="62" t="n">
        <f aca="false">M24*Engagement_Register!$AD$22*Assumptions!M$194</f>
        <v>37754.323656</v>
      </c>
      <c r="N278" s="62" t="n">
        <f aca="false">N24*Engagement_Register!$AD$22*Assumptions!N$194</f>
        <v>36370.657344</v>
      </c>
      <c r="O278" s="62" t="n">
        <f aca="false">O24*Engagement_Register!$AD$22*Assumptions!O$194</f>
        <v>0</v>
      </c>
      <c r="P278" s="62" t="n">
        <f aca="false">P24*Engagement_Register!$AD$22*Assumptions!P$194</f>
        <v>0</v>
      </c>
      <c r="Q278" s="62" t="n">
        <f aca="false">Q24*Engagement_Register!$AD$22*Assumptions!Q$194</f>
        <v>0</v>
      </c>
      <c r="R278" s="62" t="n">
        <f aca="false">R24*Engagement_Register!$AD$22*Assumptions!R$194</f>
        <v>0</v>
      </c>
      <c r="S278" s="62" t="n">
        <f aca="false">S24*Engagement_Register!$AD$22*Assumptions!S$194</f>
        <v>0</v>
      </c>
      <c r="T278" s="62" t="n">
        <f aca="false">T24*Engagement_Register!$AD$22*Assumptions!T$194</f>
        <v>0</v>
      </c>
      <c r="U278" s="62" t="n">
        <f aca="false">U24*Engagement_Register!$AD$22*Assumptions!U$194</f>
        <v>0</v>
      </c>
      <c r="V278" s="62" t="n">
        <f aca="false">V24*Engagement_Register!$AD$22*Assumptions!V$194</f>
        <v>0</v>
      </c>
      <c r="W278" s="62" t="n">
        <f aca="false">W24*Engagement_Register!$AD$22*Assumptions!W$194</f>
        <v>0</v>
      </c>
      <c r="X278" s="62" t="n">
        <f aca="false">X24*Engagement_Register!$AD$22*Assumptions!X$194</f>
        <v>0</v>
      </c>
      <c r="Y278" s="62" t="n">
        <f aca="false">Y24*Engagement_Register!$AD$22*Assumptions!Y$194</f>
        <v>0</v>
      </c>
      <c r="Z278" s="62" t="n">
        <f aca="false">Z24*Engagement_Register!$AD$22*Assumptions!Z$194</f>
        <v>0</v>
      </c>
      <c r="AA278" s="62" t="n">
        <f aca="false">AA24*Engagement_Register!$AD$22*Assumptions!AA$194</f>
        <v>0</v>
      </c>
      <c r="AB278" s="62" t="n">
        <f aca="false">AB24*Engagement_Register!$AD$22*Assumptions!AB$194</f>
        <v>0</v>
      </c>
    </row>
    <row r="279" customFormat="false" ht="15" hidden="false" customHeight="false" outlineLevel="0" collapsed="false">
      <c r="A279" s="29" t="s">
        <v>835</v>
      </c>
      <c r="B279" s="60" t="s">
        <v>865</v>
      </c>
      <c r="C279" s="61" t="n">
        <f aca="false">SUM(E279:P279)</f>
        <v>98381.40625</v>
      </c>
      <c r="D279" s="61" t="n">
        <f aca="false">SUM(Q279:AB279)</f>
        <v>0</v>
      </c>
      <c r="E279" s="62" t="n">
        <f aca="false">E24*Engagement_Register!$AE$22</f>
        <v>0</v>
      </c>
      <c r="F279" s="62" t="n">
        <f aca="false">F24*Engagement_Register!$AE$22</f>
        <v>0</v>
      </c>
      <c r="G279" s="62" t="n">
        <f aca="false">G24*Engagement_Register!$AE$22</f>
        <v>0</v>
      </c>
      <c r="H279" s="62" t="n">
        <f aca="false">H24*Engagement_Register!$AE$22</f>
        <v>0</v>
      </c>
      <c r="I279" s="62" t="n">
        <f aca="false">I24*Engagement_Register!$AE$22</f>
        <v>0</v>
      </c>
      <c r="J279" s="62" t="n">
        <f aca="false">J24*Engagement_Register!$AE$22</f>
        <v>0</v>
      </c>
      <c r="K279" s="62" t="n">
        <f aca="false">K24*Engagement_Register!$AE$22</f>
        <v>0</v>
      </c>
      <c r="L279" s="62" t="n">
        <f aca="false">L24*Engagement_Register!$AE$22</f>
        <v>27371.875</v>
      </c>
      <c r="M279" s="62" t="n">
        <f aca="false">M24*Engagement_Register!$AE$22</f>
        <v>36167.52125</v>
      </c>
      <c r="N279" s="62" t="n">
        <f aca="false">N24*Engagement_Register!$AE$22</f>
        <v>34842.01</v>
      </c>
      <c r="O279" s="62" t="n">
        <f aca="false">O24*Engagement_Register!$AE$22</f>
        <v>0</v>
      </c>
      <c r="P279" s="62" t="n">
        <f aca="false">P24*Engagement_Register!$AE$22</f>
        <v>0</v>
      </c>
      <c r="Q279" s="62" t="n">
        <f aca="false">Q24*Engagement_Register!$AE$22</f>
        <v>0</v>
      </c>
      <c r="R279" s="62" t="n">
        <f aca="false">R24*Engagement_Register!$AE$22</f>
        <v>0</v>
      </c>
      <c r="S279" s="62" t="n">
        <f aca="false">S24*Engagement_Register!$AE$22</f>
        <v>0</v>
      </c>
      <c r="T279" s="62" t="n">
        <f aca="false">T24*Engagement_Register!$AE$22</f>
        <v>0</v>
      </c>
      <c r="U279" s="62" t="n">
        <f aca="false">U24*Engagement_Register!$AE$22</f>
        <v>0</v>
      </c>
      <c r="V279" s="62" t="n">
        <f aca="false">V24*Engagement_Register!$AE$22</f>
        <v>0</v>
      </c>
      <c r="W279" s="62" t="n">
        <f aca="false">W24*Engagement_Register!$AE$22</f>
        <v>0</v>
      </c>
      <c r="X279" s="62" t="n">
        <f aca="false">X24*Engagement_Register!$AE$22</f>
        <v>0</v>
      </c>
      <c r="Y279" s="62" t="n">
        <f aca="false">Y24*Engagement_Register!$AE$22</f>
        <v>0</v>
      </c>
      <c r="Z279" s="62" t="n">
        <f aca="false">Z24*Engagement_Register!$AE$22</f>
        <v>0</v>
      </c>
      <c r="AA279" s="62" t="n">
        <f aca="false">AA24*Engagement_Register!$AE$22</f>
        <v>0</v>
      </c>
      <c r="AB279" s="62" t="n">
        <f aca="false">AB24*Engagement_Register!$AE$22</f>
        <v>0</v>
      </c>
    </row>
    <row r="280" customFormat="false" ht="15" hidden="false" customHeight="false" outlineLevel="0" collapsed="false">
      <c r="A280" s="29" t="s">
        <v>742</v>
      </c>
      <c r="B280" s="60" t="s">
        <v>866</v>
      </c>
      <c r="C280" s="61" t="n">
        <f aca="false">P280</f>
        <v>95000</v>
      </c>
      <c r="D280" s="61" t="n">
        <f aca="false">AB280</f>
        <v>95000</v>
      </c>
      <c r="E280" s="62" t="n">
        <f aca="false">IF(E$5="A",Engagement_Register!$U$22+Inputs_Actuals!E94,Engagement_Register!$AP$22*E277)</f>
        <v>0</v>
      </c>
      <c r="F280" s="62" t="n">
        <f aca="false">IF(F$5="A",E280+Inputs_Actuals!F94,Engagement_Register!$AP$22*F277)</f>
        <v>0</v>
      </c>
      <c r="G280" s="62" t="n">
        <f aca="false">IF(G$5="A",F280+Inputs_Actuals!G94,Engagement_Register!$AP$22*G277)</f>
        <v>0</v>
      </c>
      <c r="H280" s="62" t="n">
        <f aca="false">IF(H$5="A",G280+Inputs_Actuals!H94,Engagement_Register!$AP$22*H277)</f>
        <v>0</v>
      </c>
      <c r="I280" s="62" t="n">
        <f aca="false">IF(I$5="A",H280+Inputs_Actuals!I94,Engagement_Register!$AP$22*I277)</f>
        <v>0</v>
      </c>
      <c r="J280" s="62" t="n">
        <f aca="false">IF(J$5="A",I280+Inputs_Actuals!J94,Engagement_Register!$AP$22*J277)</f>
        <v>0</v>
      </c>
      <c r="K280" s="62" t="n">
        <f aca="false">IF(K$5="A",J280+Inputs_Actuals!K94,Engagement_Register!$AP$22*K277)</f>
        <v>0</v>
      </c>
      <c r="L280" s="62" t="n">
        <f aca="false">IF(L$5="A",K280+Inputs_Actuals!L94,Engagement_Register!$AP$22*L277)</f>
        <v>27371.88</v>
      </c>
      <c r="M280" s="62" t="n">
        <f aca="false">IF(M$5="A",L280+Inputs_Actuals!M94,Engagement_Register!$AP$22*M277)</f>
        <v>61355.5230996711</v>
      </c>
      <c r="N280" s="62" t="n">
        <f aca="false">IF(N$5="A",M280+Inputs_Actuals!N94,Engagement_Register!$AP$22*N277)</f>
        <v>95000</v>
      </c>
      <c r="O280" s="62" t="n">
        <f aca="false">IF(O$5="A",N280+Inputs_Actuals!O94,Engagement_Register!$AP$22*O277)</f>
        <v>95000</v>
      </c>
      <c r="P280" s="62" t="n">
        <f aca="false">IF(P$5="A",O280+Inputs_Actuals!P94,Engagement_Register!$AP$22*P277)</f>
        <v>95000</v>
      </c>
      <c r="Q280" s="62" t="n">
        <f aca="false">IF(Q$5="A",P280+Inputs_Actuals!Q94,Engagement_Register!$AP$22*Q277)</f>
        <v>95000</v>
      </c>
      <c r="R280" s="62" t="n">
        <f aca="false">IF(R$5="A",Q280+Inputs_Actuals!R94,Engagement_Register!$AP$22*R277)</f>
        <v>95000</v>
      </c>
      <c r="S280" s="62" t="n">
        <f aca="false">IF(S$5="A",R280+Inputs_Actuals!S94,Engagement_Register!$AP$22*S277)</f>
        <v>95000</v>
      </c>
      <c r="T280" s="62" t="n">
        <f aca="false">IF(T$5="A",S280+Inputs_Actuals!T94,Engagement_Register!$AP$22*T277)</f>
        <v>95000</v>
      </c>
      <c r="U280" s="62" t="n">
        <f aca="false">IF(U$5="A",T280+Inputs_Actuals!U94,Engagement_Register!$AP$22*U277)</f>
        <v>95000</v>
      </c>
      <c r="V280" s="62" t="n">
        <f aca="false">IF(V$5="A",U280+Inputs_Actuals!V94,Engagement_Register!$AP$22*V277)</f>
        <v>95000</v>
      </c>
      <c r="W280" s="62" t="n">
        <f aca="false">IF(W$5="A",V280+Inputs_Actuals!W94,Engagement_Register!$AP$22*W277)</f>
        <v>95000</v>
      </c>
      <c r="X280" s="62" t="n">
        <f aca="false">IF(X$5="A",W280+Inputs_Actuals!X94,Engagement_Register!$AP$22*X277)</f>
        <v>95000</v>
      </c>
      <c r="Y280" s="62" t="n">
        <f aca="false">IF(Y$5="A",X280+Inputs_Actuals!Y94,Engagement_Register!$AP$22*Y277)</f>
        <v>95000</v>
      </c>
      <c r="Z280" s="62" t="n">
        <f aca="false">IF(Z$5="A",Y280+Inputs_Actuals!Z94,Engagement_Register!$AP$22*Z277)</f>
        <v>95000</v>
      </c>
      <c r="AA280" s="62" t="n">
        <f aca="false">IF(AA$5="A",Z280+Inputs_Actuals!AA94,Engagement_Register!$AP$22*AA277)</f>
        <v>95000</v>
      </c>
      <c r="AB280" s="62" t="n">
        <f aca="false">IF(AB$5="A",AA280+Inputs_Actuals!AB94,Engagement_Register!$AP$22*AB277)</f>
        <v>95000</v>
      </c>
    </row>
    <row r="281" customFormat="false" ht="15" hidden="false" customHeight="false" outlineLevel="0" collapsed="false">
      <c r="A281" s="68" t="s">
        <v>349</v>
      </c>
      <c r="B281" s="69" t="s">
        <v>859</v>
      </c>
      <c r="C281" s="70" t="n">
        <f aca="false">SUM(E281:P281)</f>
        <v>95000</v>
      </c>
      <c r="D281" s="70" t="n">
        <f aca="false">SUM(Q281:AB281)</f>
        <v>0</v>
      </c>
      <c r="E281" s="74" t="n">
        <f aca="false">E280-Engagement_Register!$U$22</f>
        <v>0</v>
      </c>
      <c r="F281" s="70" t="n">
        <f aca="false">F280-E280</f>
        <v>0</v>
      </c>
      <c r="G281" s="70" t="n">
        <f aca="false">G280-F280</f>
        <v>0</v>
      </c>
      <c r="H281" s="70" t="n">
        <f aca="false">H280-G280</f>
        <v>0</v>
      </c>
      <c r="I281" s="70" t="n">
        <f aca="false">I280-H280</f>
        <v>0</v>
      </c>
      <c r="J281" s="70" t="n">
        <f aca="false">J280-I280</f>
        <v>0</v>
      </c>
      <c r="K281" s="70" t="n">
        <f aca="false">K280-J280</f>
        <v>0</v>
      </c>
      <c r="L281" s="70" t="n">
        <f aca="false">L280-K280</f>
        <v>27371.88</v>
      </c>
      <c r="M281" s="70" t="n">
        <f aca="false">M280-L280</f>
        <v>33983.6430996711</v>
      </c>
      <c r="N281" s="70" t="n">
        <f aca="false">N280-M280</f>
        <v>33644.4769003289</v>
      </c>
      <c r="O281" s="70" t="n">
        <f aca="false">O280-N280</f>
        <v>0</v>
      </c>
      <c r="P281" s="70" t="n">
        <f aca="false">P280-O280</f>
        <v>0</v>
      </c>
      <c r="Q281" s="70" t="n">
        <f aca="false">Q280-P280</f>
        <v>0</v>
      </c>
      <c r="R281" s="70" t="n">
        <f aca="false">R280-Q280</f>
        <v>0</v>
      </c>
      <c r="S281" s="70" t="n">
        <f aca="false">S280-R280</f>
        <v>0</v>
      </c>
      <c r="T281" s="70" t="n">
        <f aca="false">T280-S280</f>
        <v>0</v>
      </c>
      <c r="U281" s="70" t="n">
        <f aca="false">U280-T280</f>
        <v>0</v>
      </c>
      <c r="V281" s="70" t="n">
        <f aca="false">V280-U280</f>
        <v>0</v>
      </c>
      <c r="W281" s="70" t="n">
        <f aca="false">W280-V280</f>
        <v>0</v>
      </c>
      <c r="X281" s="70" t="n">
        <f aca="false">X280-W280</f>
        <v>0</v>
      </c>
      <c r="Y281" s="70" t="n">
        <f aca="false">Y280-X280</f>
        <v>0</v>
      </c>
      <c r="Z281" s="70" t="n">
        <f aca="false">Z280-Y280</f>
        <v>0</v>
      </c>
      <c r="AA281" s="70" t="n">
        <f aca="false">AA280-Z280</f>
        <v>0</v>
      </c>
      <c r="AB281" s="70" t="n">
        <f aca="false">AB280-AA280</f>
        <v>0</v>
      </c>
    </row>
    <row r="282" customFormat="false" ht="15" hidden="false" customHeight="false" outlineLevel="0" collapsed="false">
      <c r="A282" s="29" t="s">
        <v>867</v>
      </c>
      <c r="B282" s="60" t="s">
        <v>868</v>
      </c>
      <c r="C282" s="61" t="n">
        <f aca="false">P282</f>
        <v>95000</v>
      </c>
      <c r="D282" s="61" t="n">
        <f aca="false">AB282</f>
        <v>95000</v>
      </c>
      <c r="E282" s="62" t="n">
        <f aca="false">Engagement_Register!$AP$22*(Assumptions!$C$146*(Assumptions!E$187&gt;=Engagement_Register!$AG$22)+Assumptions!$C$147*(Assumptions!E$187&gt;=Engagement_Register!$AI$22)+Assumptions!$C$148*(Assumptions!E$187&gt;=Engagement_Register!$AH$22))</f>
        <v>0</v>
      </c>
      <c r="F282" s="62" t="n">
        <f aca="false">Engagement_Register!$AP$22*(Assumptions!$C$146*(Assumptions!F$187&gt;=Engagement_Register!$AG$22)+Assumptions!$C$147*(Assumptions!F$187&gt;=Engagement_Register!$AI$22)+Assumptions!$C$148*(Assumptions!F$187&gt;=Engagement_Register!$AH$22))</f>
        <v>0</v>
      </c>
      <c r="G282" s="62" t="n">
        <f aca="false">Engagement_Register!$AP$22*(Assumptions!$C$146*(Assumptions!G$187&gt;=Engagement_Register!$AG$22)+Assumptions!$C$147*(Assumptions!G$187&gt;=Engagement_Register!$AI$22)+Assumptions!$C$148*(Assumptions!G$187&gt;=Engagement_Register!$AH$22))</f>
        <v>0</v>
      </c>
      <c r="H282" s="62" t="n">
        <f aca="false">Engagement_Register!$AP$22*(Assumptions!$C$146*(Assumptions!H$187&gt;=Engagement_Register!$AG$22)+Assumptions!$C$147*(Assumptions!H$187&gt;=Engagement_Register!$AI$22)+Assumptions!$C$148*(Assumptions!H$187&gt;=Engagement_Register!$AH$22))</f>
        <v>0</v>
      </c>
      <c r="I282" s="62" t="n">
        <f aca="false">Engagement_Register!$AP$22*(Assumptions!$C$146*(Assumptions!I$187&gt;=Engagement_Register!$AG$22)+Assumptions!$C$147*(Assumptions!I$187&gt;=Engagement_Register!$AI$22)+Assumptions!$C$148*(Assumptions!I$187&gt;=Engagement_Register!$AH$22))</f>
        <v>0</v>
      </c>
      <c r="J282" s="62" t="n">
        <f aca="false">Engagement_Register!$AP$22*(Assumptions!$C$146*(Assumptions!J$187&gt;=Engagement_Register!$AG$22)+Assumptions!$C$147*(Assumptions!J$187&gt;=Engagement_Register!$AI$22)+Assumptions!$C$148*(Assumptions!J$187&gt;=Engagement_Register!$AH$22))</f>
        <v>0</v>
      </c>
      <c r="K282" s="62" t="n">
        <f aca="false">Engagement_Register!$AP$22*(Assumptions!$C$146*(Assumptions!K$187&gt;=Engagement_Register!$AG$22)+Assumptions!$C$147*(Assumptions!K$187&gt;=Engagement_Register!$AI$22)+Assumptions!$C$148*(Assumptions!K$187&gt;=Engagement_Register!$AH$22))</f>
        <v>0</v>
      </c>
      <c r="L282" s="62" t="n">
        <f aca="false">Engagement_Register!$AP$22*(Assumptions!$C$146*(Assumptions!L$187&gt;=Engagement_Register!$AG$22)+Assumptions!$C$147*(Assumptions!L$187&gt;=Engagement_Register!$AI$22)+Assumptions!$C$148*(Assumptions!L$187&gt;=Engagement_Register!$AH$22))</f>
        <v>28500</v>
      </c>
      <c r="M282" s="62" t="n">
        <f aca="false">Engagement_Register!$AP$22*(Assumptions!$C$146*(Assumptions!M$187&gt;=Engagement_Register!$AG$22)+Assumptions!$C$147*(Assumptions!M$187&gt;=Engagement_Register!$AI$22)+Assumptions!$C$148*(Assumptions!M$187&gt;=Engagement_Register!$AH$22))</f>
        <v>66500</v>
      </c>
      <c r="N282" s="62" t="n">
        <f aca="false">Engagement_Register!$AP$22*(Assumptions!$C$146*(Assumptions!N$187&gt;=Engagement_Register!$AG$22)+Assumptions!$C$147*(Assumptions!N$187&gt;=Engagement_Register!$AI$22)+Assumptions!$C$148*(Assumptions!N$187&gt;=Engagement_Register!$AH$22))</f>
        <v>95000</v>
      </c>
      <c r="O282" s="62" t="n">
        <f aca="false">Engagement_Register!$AP$22*(Assumptions!$C$146*(Assumptions!O$187&gt;=Engagement_Register!$AG$22)+Assumptions!$C$147*(Assumptions!O$187&gt;=Engagement_Register!$AI$22)+Assumptions!$C$148*(Assumptions!O$187&gt;=Engagement_Register!$AH$22))</f>
        <v>95000</v>
      </c>
      <c r="P282" s="62" t="n">
        <f aca="false">Engagement_Register!$AP$22*(Assumptions!$C$146*(Assumptions!P$187&gt;=Engagement_Register!$AG$22)+Assumptions!$C$147*(Assumptions!P$187&gt;=Engagement_Register!$AI$22)+Assumptions!$C$148*(Assumptions!P$187&gt;=Engagement_Register!$AH$22))</f>
        <v>95000</v>
      </c>
      <c r="Q282" s="62" t="n">
        <f aca="false">Engagement_Register!$AP$22*(Assumptions!$C$146*(Assumptions!Q$187&gt;=Engagement_Register!$AG$22)+Assumptions!$C$147*(Assumptions!Q$187&gt;=Engagement_Register!$AI$22)+Assumptions!$C$148*(Assumptions!Q$187&gt;=Engagement_Register!$AH$22))</f>
        <v>95000</v>
      </c>
      <c r="R282" s="62" t="n">
        <f aca="false">Engagement_Register!$AP$22*(Assumptions!$C$146*(Assumptions!R$187&gt;=Engagement_Register!$AG$22)+Assumptions!$C$147*(Assumptions!R$187&gt;=Engagement_Register!$AI$22)+Assumptions!$C$148*(Assumptions!R$187&gt;=Engagement_Register!$AH$22))</f>
        <v>95000</v>
      </c>
      <c r="S282" s="62" t="n">
        <f aca="false">Engagement_Register!$AP$22*(Assumptions!$C$146*(Assumptions!S$187&gt;=Engagement_Register!$AG$22)+Assumptions!$C$147*(Assumptions!S$187&gt;=Engagement_Register!$AI$22)+Assumptions!$C$148*(Assumptions!S$187&gt;=Engagement_Register!$AH$22))</f>
        <v>95000</v>
      </c>
      <c r="T282" s="62" t="n">
        <f aca="false">Engagement_Register!$AP$22*(Assumptions!$C$146*(Assumptions!T$187&gt;=Engagement_Register!$AG$22)+Assumptions!$C$147*(Assumptions!T$187&gt;=Engagement_Register!$AI$22)+Assumptions!$C$148*(Assumptions!T$187&gt;=Engagement_Register!$AH$22))</f>
        <v>95000</v>
      </c>
      <c r="U282" s="62" t="n">
        <f aca="false">Engagement_Register!$AP$22*(Assumptions!$C$146*(Assumptions!U$187&gt;=Engagement_Register!$AG$22)+Assumptions!$C$147*(Assumptions!U$187&gt;=Engagement_Register!$AI$22)+Assumptions!$C$148*(Assumptions!U$187&gt;=Engagement_Register!$AH$22))</f>
        <v>95000</v>
      </c>
      <c r="V282" s="62" t="n">
        <f aca="false">Engagement_Register!$AP$22*(Assumptions!$C$146*(Assumptions!V$187&gt;=Engagement_Register!$AG$22)+Assumptions!$C$147*(Assumptions!V$187&gt;=Engagement_Register!$AI$22)+Assumptions!$C$148*(Assumptions!V$187&gt;=Engagement_Register!$AH$22))</f>
        <v>95000</v>
      </c>
      <c r="W282" s="62" t="n">
        <f aca="false">Engagement_Register!$AP$22*(Assumptions!$C$146*(Assumptions!W$187&gt;=Engagement_Register!$AG$22)+Assumptions!$C$147*(Assumptions!W$187&gt;=Engagement_Register!$AI$22)+Assumptions!$C$148*(Assumptions!W$187&gt;=Engagement_Register!$AH$22))</f>
        <v>95000</v>
      </c>
      <c r="X282" s="62" t="n">
        <f aca="false">Engagement_Register!$AP$22*(Assumptions!$C$146*(Assumptions!X$187&gt;=Engagement_Register!$AG$22)+Assumptions!$C$147*(Assumptions!X$187&gt;=Engagement_Register!$AI$22)+Assumptions!$C$148*(Assumptions!X$187&gt;=Engagement_Register!$AH$22))</f>
        <v>95000</v>
      </c>
      <c r="Y282" s="62" t="n">
        <f aca="false">Engagement_Register!$AP$22*(Assumptions!$C$146*(Assumptions!Y$187&gt;=Engagement_Register!$AG$22)+Assumptions!$C$147*(Assumptions!Y$187&gt;=Engagement_Register!$AI$22)+Assumptions!$C$148*(Assumptions!Y$187&gt;=Engagement_Register!$AH$22))</f>
        <v>95000</v>
      </c>
      <c r="Z282" s="62" t="n">
        <f aca="false">Engagement_Register!$AP$22*(Assumptions!$C$146*(Assumptions!Z$187&gt;=Engagement_Register!$AG$22)+Assumptions!$C$147*(Assumptions!Z$187&gt;=Engagement_Register!$AI$22)+Assumptions!$C$148*(Assumptions!Z$187&gt;=Engagement_Register!$AH$22))</f>
        <v>95000</v>
      </c>
      <c r="AA282" s="62" t="n">
        <f aca="false">Engagement_Register!$AP$22*(Assumptions!$C$146*(Assumptions!AA$187&gt;=Engagement_Register!$AG$22)+Assumptions!$C$147*(Assumptions!AA$187&gt;=Engagement_Register!$AI$22)+Assumptions!$C$148*(Assumptions!AA$187&gt;=Engagement_Register!$AH$22))</f>
        <v>95000</v>
      </c>
      <c r="AB282" s="62" t="n">
        <f aca="false">Engagement_Register!$AP$22*(Assumptions!$C$146*(Assumptions!AB$187&gt;=Engagement_Register!$AG$22)+Assumptions!$C$147*(Assumptions!AB$187&gt;=Engagement_Register!$AI$22)+Assumptions!$C$148*(Assumptions!AB$187&gt;=Engagement_Register!$AH$22))</f>
        <v>95000</v>
      </c>
    </row>
    <row r="283" customFormat="false" ht="15" hidden="false" customHeight="false" outlineLevel="0" collapsed="false">
      <c r="A283" s="29" t="s">
        <v>838</v>
      </c>
      <c r="B283" s="60" t="s">
        <v>869</v>
      </c>
      <c r="C283" s="61" t="n">
        <f aca="false">SUM(E283:P283)</f>
        <v>95000</v>
      </c>
      <c r="D283" s="61" t="n">
        <f aca="false">SUM(Q283:AB283)</f>
        <v>0</v>
      </c>
      <c r="E283" s="62" t="n">
        <f aca="false">IF(E$5="A",Inputs_Actuals!E95,MAX(0,E282-Engagement_Register!$V$22))</f>
        <v>0</v>
      </c>
      <c r="F283" s="62" t="n">
        <f aca="false">IF(F$5="A",Inputs_Actuals!F95,MAX(0,F282-E284))</f>
        <v>0</v>
      </c>
      <c r="G283" s="62" t="n">
        <f aca="false">IF(G$5="A",Inputs_Actuals!G95,MAX(0,G282-F284))</f>
        <v>0</v>
      </c>
      <c r="H283" s="62" t="n">
        <f aca="false">IF(H$5="A",Inputs_Actuals!H95,MAX(0,H282-G284))</f>
        <v>0</v>
      </c>
      <c r="I283" s="62" t="n">
        <f aca="false">IF(I$5="A",Inputs_Actuals!I95,MAX(0,I282-H284))</f>
        <v>0</v>
      </c>
      <c r="J283" s="62" t="n">
        <f aca="false">IF(J$5="A",Inputs_Actuals!J95,MAX(0,J282-I284))</f>
        <v>0</v>
      </c>
      <c r="K283" s="62" t="n">
        <f aca="false">IF(K$5="A",Inputs_Actuals!K95,MAX(0,K282-J284))</f>
        <v>0</v>
      </c>
      <c r="L283" s="62" t="n">
        <f aca="false">IF(L$5="A",Inputs_Actuals!L95,MAX(0,L282-K284))</f>
        <v>28500</v>
      </c>
      <c r="M283" s="62" t="n">
        <f aca="false">IF(M$5="A",Inputs_Actuals!M95,MAX(0,M282-L284))</f>
        <v>38000</v>
      </c>
      <c r="N283" s="62" t="n">
        <f aca="false">IF(N$5="A",Inputs_Actuals!N95,MAX(0,N282-M284))</f>
        <v>28500</v>
      </c>
      <c r="O283" s="62" t="n">
        <f aca="false">IF(O$5="A",Inputs_Actuals!O95,MAX(0,O282-N284))</f>
        <v>0</v>
      </c>
      <c r="P283" s="62" t="n">
        <f aca="false">IF(P$5="A",Inputs_Actuals!P95,MAX(0,P282-O284))</f>
        <v>0</v>
      </c>
      <c r="Q283" s="62" t="n">
        <f aca="false">IF(Q$5="A",Inputs_Actuals!Q95,MAX(0,Q282-P284))</f>
        <v>0</v>
      </c>
      <c r="R283" s="62" t="n">
        <f aca="false">IF(R$5="A",Inputs_Actuals!R95,MAX(0,R282-Q284))</f>
        <v>0</v>
      </c>
      <c r="S283" s="62" t="n">
        <f aca="false">IF(S$5="A",Inputs_Actuals!S95,MAX(0,S282-R284))</f>
        <v>0</v>
      </c>
      <c r="T283" s="62" t="n">
        <f aca="false">IF(T$5="A",Inputs_Actuals!T95,MAX(0,T282-S284))</f>
        <v>0</v>
      </c>
      <c r="U283" s="62" t="n">
        <f aca="false">IF(U$5="A",Inputs_Actuals!U95,MAX(0,U282-T284))</f>
        <v>0</v>
      </c>
      <c r="V283" s="62" t="n">
        <f aca="false">IF(V$5="A",Inputs_Actuals!V95,MAX(0,V282-U284))</f>
        <v>0</v>
      </c>
      <c r="W283" s="62" t="n">
        <f aca="false">IF(W$5="A",Inputs_Actuals!W95,MAX(0,W282-V284))</f>
        <v>0</v>
      </c>
      <c r="X283" s="62" t="n">
        <f aca="false">IF(X$5="A",Inputs_Actuals!X95,MAX(0,X282-W284))</f>
        <v>0</v>
      </c>
      <c r="Y283" s="62" t="n">
        <f aca="false">IF(Y$5="A",Inputs_Actuals!Y95,MAX(0,Y282-X284))</f>
        <v>0</v>
      </c>
      <c r="Z283" s="62" t="n">
        <f aca="false">IF(Z$5="A",Inputs_Actuals!Z95,MAX(0,Z282-Y284))</f>
        <v>0</v>
      </c>
      <c r="AA283" s="62" t="n">
        <f aca="false">IF(AA$5="A",Inputs_Actuals!AA95,MAX(0,AA282-Z284))</f>
        <v>0</v>
      </c>
      <c r="AB283" s="62" t="n">
        <f aca="false">IF(AB$5="A",Inputs_Actuals!AB95,MAX(0,AB282-AA284))</f>
        <v>0</v>
      </c>
    </row>
    <row r="284" customFormat="false" ht="15" hidden="false" customHeight="false" outlineLevel="0" collapsed="false">
      <c r="A284" s="29" t="s">
        <v>840</v>
      </c>
      <c r="B284" s="60"/>
      <c r="C284" s="61" t="n">
        <f aca="false">P284</f>
        <v>95000</v>
      </c>
      <c r="D284" s="61" t="n">
        <f aca="false">AB284</f>
        <v>95000</v>
      </c>
      <c r="E284" s="62" t="n">
        <f aca="false">Engagement_Register!$V$22+E283</f>
        <v>0</v>
      </c>
      <c r="F284" s="71" t="n">
        <f aca="false">E284+F283</f>
        <v>0</v>
      </c>
      <c r="G284" s="71" t="n">
        <f aca="false">F284+G283</f>
        <v>0</v>
      </c>
      <c r="H284" s="71" t="n">
        <f aca="false">G284+H283</f>
        <v>0</v>
      </c>
      <c r="I284" s="71" t="n">
        <f aca="false">H284+I283</f>
        <v>0</v>
      </c>
      <c r="J284" s="71" t="n">
        <f aca="false">I284+J283</f>
        <v>0</v>
      </c>
      <c r="K284" s="71" t="n">
        <f aca="false">J284+K283</f>
        <v>0</v>
      </c>
      <c r="L284" s="71" t="n">
        <f aca="false">K284+L283</f>
        <v>28500</v>
      </c>
      <c r="M284" s="71" t="n">
        <f aca="false">L284+M283</f>
        <v>66500</v>
      </c>
      <c r="N284" s="71" t="n">
        <f aca="false">M284+N283</f>
        <v>95000</v>
      </c>
      <c r="O284" s="71" t="n">
        <f aca="false">N284+O283</f>
        <v>95000</v>
      </c>
      <c r="P284" s="71" t="n">
        <f aca="false">O284+P283</f>
        <v>95000</v>
      </c>
      <c r="Q284" s="71" t="n">
        <f aca="false">P284+Q283</f>
        <v>95000</v>
      </c>
      <c r="R284" s="71" t="n">
        <f aca="false">Q284+R283</f>
        <v>95000</v>
      </c>
      <c r="S284" s="71" t="n">
        <f aca="false">R284+S283</f>
        <v>95000</v>
      </c>
      <c r="T284" s="71" t="n">
        <f aca="false">S284+T283</f>
        <v>95000</v>
      </c>
      <c r="U284" s="71" t="n">
        <f aca="false">T284+U283</f>
        <v>95000</v>
      </c>
      <c r="V284" s="71" t="n">
        <f aca="false">U284+V283</f>
        <v>95000</v>
      </c>
      <c r="W284" s="71" t="n">
        <f aca="false">V284+W283</f>
        <v>95000</v>
      </c>
      <c r="X284" s="71" t="n">
        <f aca="false">W284+X283</f>
        <v>95000</v>
      </c>
      <c r="Y284" s="71" t="n">
        <f aca="false">X284+Y283</f>
        <v>95000</v>
      </c>
      <c r="Z284" s="71" t="n">
        <f aca="false">Y284+Z283</f>
        <v>95000</v>
      </c>
      <c r="AA284" s="71" t="n">
        <f aca="false">Z284+AA283</f>
        <v>95000</v>
      </c>
      <c r="AB284" s="71" t="n">
        <f aca="false">AA284+AB283</f>
        <v>95000</v>
      </c>
    </row>
    <row r="285" customFormat="false" ht="15" hidden="false" customHeight="false" outlineLevel="0" collapsed="false">
      <c r="A285" s="29" t="s">
        <v>841</v>
      </c>
      <c r="B285" s="60" t="s">
        <v>842</v>
      </c>
      <c r="C285" s="61" t="n">
        <f aca="false">SUM(E285:P285)</f>
        <v>5795.79</v>
      </c>
      <c r="D285" s="61" t="n">
        <f aca="false">SUM(Q285:AB285)</f>
        <v>0</v>
      </c>
      <c r="E285" s="62" t="n">
        <f aca="false">IF(E$5="A",Inputs_Actuals!E96,E24*Engagement_Register!$N$22*Assumptions!E$195)</f>
        <v>0</v>
      </c>
      <c r="F285" s="62" t="n">
        <f aca="false">IF(F$5="A",Inputs_Actuals!F96,F24*Engagement_Register!$N$22*Assumptions!F$195)</f>
        <v>0</v>
      </c>
      <c r="G285" s="62" t="n">
        <f aca="false">IF(G$5="A",Inputs_Actuals!G96,G24*Engagement_Register!$N$22*Assumptions!G$195)</f>
        <v>0</v>
      </c>
      <c r="H285" s="62" t="n">
        <f aca="false">IF(H$5="A",Inputs_Actuals!H96,H24*Engagement_Register!$N$22*Assumptions!H$195)</f>
        <v>0</v>
      </c>
      <c r="I285" s="62" t="n">
        <f aca="false">IF(I$5="A",Inputs_Actuals!I96,I24*Engagement_Register!$N$22*Assumptions!I$195)</f>
        <v>0</v>
      </c>
      <c r="J285" s="62" t="n">
        <f aca="false">IF(J$5="A",Inputs_Actuals!J96,J24*Engagement_Register!$N$22*Assumptions!J$195)</f>
        <v>0</v>
      </c>
      <c r="K285" s="62" t="n">
        <f aca="false">IF(K$5="A",Inputs_Actuals!K96,K24*Engagement_Register!$N$22*Assumptions!K$195)</f>
        <v>0</v>
      </c>
      <c r="L285" s="62" t="n">
        <f aca="false">IF(L$5="A",Inputs_Actuals!L96,L24*Engagement_Register!$N$22*Assumptions!L$195)</f>
        <v>1490.37</v>
      </c>
      <c r="M285" s="62" t="n">
        <f aca="false">IF(M$5="A",Inputs_Actuals!M96,M24*Engagement_Register!$N$22*Assumptions!M$195)</f>
        <v>2192.89392</v>
      </c>
      <c r="N285" s="62" t="n">
        <f aca="false">IF(N$5="A",Inputs_Actuals!N96,N24*Engagement_Register!$N$22*Assumptions!N$195)</f>
        <v>2112.52608</v>
      </c>
      <c r="O285" s="62" t="n">
        <f aca="false">IF(O$5="A",Inputs_Actuals!O96,O24*Engagement_Register!$N$22*Assumptions!O$195)</f>
        <v>0</v>
      </c>
      <c r="P285" s="62" t="n">
        <f aca="false">IF(P$5="A",Inputs_Actuals!P96,P24*Engagement_Register!$N$22*Assumptions!P$195)</f>
        <v>0</v>
      </c>
      <c r="Q285" s="62" t="n">
        <f aca="false">IF(Q$5="A",Inputs_Actuals!Q96,Q24*Engagement_Register!$N$22*Assumptions!Q$195)</f>
        <v>0</v>
      </c>
      <c r="R285" s="62" t="n">
        <f aca="false">IF(R$5="A",Inputs_Actuals!R96,R24*Engagement_Register!$N$22*Assumptions!R$195)</f>
        <v>0</v>
      </c>
      <c r="S285" s="62" t="n">
        <f aca="false">IF(S$5="A",Inputs_Actuals!S96,S24*Engagement_Register!$N$22*Assumptions!S$195)</f>
        <v>0</v>
      </c>
      <c r="T285" s="62" t="n">
        <f aca="false">IF(T$5="A",Inputs_Actuals!T96,T24*Engagement_Register!$N$22*Assumptions!T$195)</f>
        <v>0</v>
      </c>
      <c r="U285" s="62" t="n">
        <f aca="false">IF(U$5="A",Inputs_Actuals!U96,U24*Engagement_Register!$N$22*Assumptions!U$195)</f>
        <v>0</v>
      </c>
      <c r="V285" s="62" t="n">
        <f aca="false">IF(V$5="A",Inputs_Actuals!V96,V24*Engagement_Register!$N$22*Assumptions!V$195)</f>
        <v>0</v>
      </c>
      <c r="W285" s="62" t="n">
        <f aca="false">IF(W$5="A",Inputs_Actuals!W96,W24*Engagement_Register!$N$22*Assumptions!W$195)</f>
        <v>0</v>
      </c>
      <c r="X285" s="62" t="n">
        <f aca="false">IF(X$5="A",Inputs_Actuals!X96,X24*Engagement_Register!$N$22*Assumptions!X$195)</f>
        <v>0</v>
      </c>
      <c r="Y285" s="62" t="n">
        <f aca="false">IF(Y$5="A",Inputs_Actuals!Y96,Y24*Engagement_Register!$N$22*Assumptions!Y$195)</f>
        <v>0</v>
      </c>
      <c r="Z285" s="62" t="n">
        <f aca="false">IF(Z$5="A",Inputs_Actuals!Z96,Z24*Engagement_Register!$N$22*Assumptions!Z$195)</f>
        <v>0</v>
      </c>
      <c r="AA285" s="62" t="n">
        <f aca="false">IF(AA$5="A",Inputs_Actuals!AA96,AA24*Engagement_Register!$N$22*Assumptions!AA$195)</f>
        <v>0</v>
      </c>
      <c r="AB285" s="62" t="n">
        <f aca="false">IF(AB$5="A",Inputs_Actuals!AB96,AB24*Engagement_Register!$N$22*Assumptions!AB$195)</f>
        <v>0</v>
      </c>
    </row>
    <row r="286" customFormat="false" ht="15" hidden="false" customHeight="false" outlineLevel="0" collapsed="false">
      <c r="A286" s="29" t="s">
        <v>847</v>
      </c>
      <c r="B286" s="60" t="s">
        <v>848</v>
      </c>
      <c r="C286" s="61" t="n">
        <f aca="false">P286</f>
        <v>0</v>
      </c>
      <c r="D286" s="61" t="n">
        <f aca="false">AB286</f>
        <v>0</v>
      </c>
      <c r="E286" s="62" t="n">
        <f aca="false">Engagement_Register!$X$22+E281-E283</f>
        <v>0</v>
      </c>
      <c r="F286" s="71" t="n">
        <f aca="false">E286+F281-F283</f>
        <v>0</v>
      </c>
      <c r="G286" s="71" t="n">
        <f aca="false">F286+G281-G283</f>
        <v>0</v>
      </c>
      <c r="H286" s="71" t="n">
        <f aca="false">G286+H281-H283</f>
        <v>0</v>
      </c>
      <c r="I286" s="71" t="n">
        <f aca="false">H286+I281-I283</f>
        <v>0</v>
      </c>
      <c r="J286" s="71" t="n">
        <f aca="false">I286+J281-J283</f>
        <v>0</v>
      </c>
      <c r="K286" s="71" t="n">
        <f aca="false">J286+K281-K283</f>
        <v>0</v>
      </c>
      <c r="L286" s="71" t="n">
        <f aca="false">K286+L281-L283</f>
        <v>-1128.12</v>
      </c>
      <c r="M286" s="71" t="n">
        <f aca="false">L286+M281-M283</f>
        <v>-5144.47690032893</v>
      </c>
      <c r="N286" s="71" t="n">
        <f aca="false">M286+N281-N283</f>
        <v>0</v>
      </c>
      <c r="O286" s="71" t="n">
        <f aca="false">N286+O281-O283</f>
        <v>0</v>
      </c>
      <c r="P286" s="71" t="n">
        <f aca="false">O286+P281-P283</f>
        <v>0</v>
      </c>
      <c r="Q286" s="71" t="n">
        <f aca="false">P286+Q281-Q283</f>
        <v>0</v>
      </c>
      <c r="R286" s="71" t="n">
        <f aca="false">Q286+R281-R283</f>
        <v>0</v>
      </c>
      <c r="S286" s="71" t="n">
        <f aca="false">R286+S281-S283</f>
        <v>0</v>
      </c>
      <c r="T286" s="71" t="n">
        <f aca="false">S286+T281-T283</f>
        <v>0</v>
      </c>
      <c r="U286" s="71" t="n">
        <f aca="false">T286+U281-U283</f>
        <v>0</v>
      </c>
      <c r="V286" s="71" t="n">
        <f aca="false">U286+V281-V283</f>
        <v>0</v>
      </c>
      <c r="W286" s="71" t="n">
        <f aca="false">V286+W281-W283</f>
        <v>0</v>
      </c>
      <c r="X286" s="71" t="n">
        <f aca="false">W286+X281-X283</f>
        <v>0</v>
      </c>
      <c r="Y286" s="71" t="n">
        <f aca="false">X286+Y281-Y283</f>
        <v>0</v>
      </c>
      <c r="Z286" s="71" t="n">
        <f aca="false">Y286+Z281-Z283</f>
        <v>0</v>
      </c>
      <c r="AA286" s="71" t="n">
        <f aca="false">Z286+AA281-AA283</f>
        <v>0</v>
      </c>
      <c r="AB286" s="71" t="n">
        <f aca="false">AA286+AB281-AB283</f>
        <v>0</v>
      </c>
    </row>
    <row r="287" customFormat="false" ht="15" hidden="false" customHeight="false" outlineLevel="0" collapsed="false">
      <c r="A287" s="29" t="s">
        <v>849</v>
      </c>
      <c r="B287" s="60" t="s">
        <v>850</v>
      </c>
      <c r="C287" s="61" t="n">
        <f aca="false">P287</f>
        <v>0</v>
      </c>
      <c r="D287" s="61" t="n">
        <f aca="false">AB287</f>
        <v>0</v>
      </c>
      <c r="E287" s="62" t="n">
        <f aca="false">MAX(0,Engagement_Register!$AP$22-E280)</f>
        <v>95000</v>
      </c>
      <c r="F287" s="62" t="n">
        <f aca="false">MAX(0,Engagement_Register!$AP$22-F280)</f>
        <v>95000</v>
      </c>
      <c r="G287" s="62" t="n">
        <f aca="false">MAX(0,Engagement_Register!$AP$22-G280)</f>
        <v>95000</v>
      </c>
      <c r="H287" s="62" t="n">
        <f aca="false">MAX(0,Engagement_Register!$AP$22-H280)</f>
        <v>95000</v>
      </c>
      <c r="I287" s="62" t="n">
        <f aca="false">MAX(0,Engagement_Register!$AP$22-I280)</f>
        <v>95000</v>
      </c>
      <c r="J287" s="62" t="n">
        <f aca="false">MAX(0,Engagement_Register!$AP$22-J280)</f>
        <v>95000</v>
      </c>
      <c r="K287" s="62" t="n">
        <f aca="false">MAX(0,Engagement_Register!$AP$22-K280)</f>
        <v>95000</v>
      </c>
      <c r="L287" s="62" t="n">
        <f aca="false">MAX(0,Engagement_Register!$AP$22-L280)</f>
        <v>67628.12</v>
      </c>
      <c r="M287" s="62" t="n">
        <f aca="false">MAX(0,Engagement_Register!$AP$22-M280)</f>
        <v>33644.4769003289</v>
      </c>
      <c r="N287" s="62" t="n">
        <f aca="false">MAX(0,Engagement_Register!$AP$22-N280)</f>
        <v>0</v>
      </c>
      <c r="O287" s="62" t="n">
        <f aca="false">MAX(0,Engagement_Register!$AP$22-O280)</f>
        <v>0</v>
      </c>
      <c r="P287" s="62" t="n">
        <f aca="false">MAX(0,Engagement_Register!$AP$22-P280)</f>
        <v>0</v>
      </c>
      <c r="Q287" s="62" t="n">
        <f aca="false">MAX(0,Engagement_Register!$AP$22-Q280)</f>
        <v>0</v>
      </c>
      <c r="R287" s="62" t="n">
        <f aca="false">MAX(0,Engagement_Register!$AP$22-R280)</f>
        <v>0</v>
      </c>
      <c r="S287" s="62" t="n">
        <f aca="false">MAX(0,Engagement_Register!$AP$22-S280)</f>
        <v>0</v>
      </c>
      <c r="T287" s="62" t="n">
        <f aca="false">MAX(0,Engagement_Register!$AP$22-T280)</f>
        <v>0</v>
      </c>
      <c r="U287" s="62" t="n">
        <f aca="false">MAX(0,Engagement_Register!$AP$22-U280)</f>
        <v>0</v>
      </c>
      <c r="V287" s="62" t="n">
        <f aca="false">MAX(0,Engagement_Register!$AP$22-V280)</f>
        <v>0</v>
      </c>
      <c r="W287" s="62" t="n">
        <f aca="false">MAX(0,Engagement_Register!$AP$22-W280)</f>
        <v>0</v>
      </c>
      <c r="X287" s="62" t="n">
        <f aca="false">MAX(0,Engagement_Register!$AP$22-X280)</f>
        <v>0</v>
      </c>
      <c r="Y287" s="62" t="n">
        <f aca="false">MAX(0,Engagement_Register!$AP$22-Y280)</f>
        <v>0</v>
      </c>
      <c r="Z287" s="62" t="n">
        <f aca="false">MAX(0,Engagement_Register!$AP$22-Z280)</f>
        <v>0</v>
      </c>
      <c r="AA287" s="62" t="n">
        <f aca="false">MAX(0,Engagement_Register!$AP$22-AA280)</f>
        <v>0</v>
      </c>
      <c r="AB287" s="62" t="n">
        <f aca="false">MAX(0,Engagement_Register!$AP$22-AB280)</f>
        <v>0</v>
      </c>
    </row>
    <row r="288" customFormat="false" ht="15" hidden="false" customHeight="false" outlineLevel="0" collapsed="false">
      <c r="A288" s="29" t="s">
        <v>861</v>
      </c>
      <c r="B288" s="60" t="s">
        <v>862</v>
      </c>
      <c r="E288" s="62" t="n">
        <f aca="false">IF(E$5="A",ROUND(E280-E277*Engagement_Register!$AP$22,0),0)</f>
        <v>0</v>
      </c>
      <c r="F288" s="62" t="n">
        <f aca="false">IF(F$5="A",ROUND(F280-F277*Engagement_Register!$AP$22,0),0)</f>
        <v>0</v>
      </c>
      <c r="G288" s="62" t="n">
        <f aca="false">IF(G$5="A",ROUND(G280-G277*Engagement_Register!$AP$22,0),0)</f>
        <v>0</v>
      </c>
      <c r="H288" s="62" t="n">
        <f aca="false">IF(H$5="A",ROUND(H280-H277*Engagement_Register!$AP$22,0),0)</f>
        <v>0</v>
      </c>
      <c r="I288" s="62" t="n">
        <f aca="false">IF(I$5="A",ROUND(I280-I277*Engagement_Register!$AP$22,0),0)</f>
        <v>0</v>
      </c>
      <c r="J288" s="62" t="n">
        <f aca="false">IF(J$5="A",ROUND(J280-J277*Engagement_Register!$AP$22,0),0)</f>
        <v>0</v>
      </c>
      <c r="K288" s="62" t="n">
        <f aca="false">IF(K$5="A",ROUND(K280-K277*Engagement_Register!$AP$22,0),0)</f>
        <v>0</v>
      </c>
      <c r="L288" s="62" t="n">
        <f aca="false">IF(L$5="A",ROUND(L280-L277*Engagement_Register!$AP$22,0),0)</f>
        <v>0</v>
      </c>
      <c r="M288" s="62" t="n">
        <f aca="false">IF(M$5="A",ROUND(M280-M277*Engagement_Register!$AP$22,0),0)</f>
        <v>0</v>
      </c>
      <c r="N288" s="62" t="n">
        <f aca="false">IF(N$5="A",ROUND(N280-N277*Engagement_Register!$AP$22,0),0)</f>
        <v>0</v>
      </c>
      <c r="O288" s="62" t="n">
        <f aca="false">IF(O$5="A",ROUND(O280-O277*Engagement_Register!$AP$22,0),0)</f>
        <v>0</v>
      </c>
      <c r="P288" s="62" t="n">
        <f aca="false">IF(P$5="A",ROUND(P280-P277*Engagement_Register!$AP$22,0),0)</f>
        <v>0</v>
      </c>
      <c r="Q288" s="62" t="n">
        <f aca="false">IF(Q$5="A",ROUND(Q280-Q277*Engagement_Register!$AP$22,0),0)</f>
        <v>0</v>
      </c>
      <c r="R288" s="62" t="n">
        <f aca="false">IF(R$5="A",ROUND(R280-R277*Engagement_Register!$AP$22,0),0)</f>
        <v>0</v>
      </c>
      <c r="S288" s="62" t="n">
        <f aca="false">IF(S$5="A",ROUND(S280-S277*Engagement_Register!$AP$22,0),0)</f>
        <v>0</v>
      </c>
      <c r="T288" s="62" t="n">
        <f aca="false">IF(T$5="A",ROUND(T280-T277*Engagement_Register!$AP$22,0),0)</f>
        <v>0</v>
      </c>
      <c r="U288" s="62" t="n">
        <f aca="false">IF(U$5="A",ROUND(U280-U277*Engagement_Register!$AP$22,0),0)</f>
        <v>0</v>
      </c>
      <c r="V288" s="62" t="n">
        <f aca="false">IF(V$5="A",ROUND(V280-V277*Engagement_Register!$AP$22,0),0)</f>
        <v>0</v>
      </c>
      <c r="W288" s="62" t="n">
        <f aca="false">IF(W$5="A",ROUND(W280-W277*Engagement_Register!$AP$22,0),0)</f>
        <v>0</v>
      </c>
      <c r="X288" s="62" t="n">
        <f aca="false">IF(X$5="A",ROUND(X280-X277*Engagement_Register!$AP$22,0),0)</f>
        <v>0</v>
      </c>
      <c r="Y288" s="62" t="n">
        <f aca="false">IF(Y$5="A",ROUND(Y280-Y277*Engagement_Register!$AP$22,0),0)</f>
        <v>0</v>
      </c>
      <c r="Z288" s="62" t="n">
        <f aca="false">IF(Z$5="A",ROUND(Z280-Z277*Engagement_Register!$AP$22,0),0)</f>
        <v>0</v>
      </c>
      <c r="AA288" s="62" t="n">
        <f aca="false">IF(AA$5="A",ROUND(AA280-AA277*Engagement_Register!$AP$22,0),0)</f>
        <v>0</v>
      </c>
      <c r="AB288" s="62" t="n">
        <f aca="false">IF(AB$5="A",ROUND(AB280-AB277*Engagement_Register!$AP$22,0),0)</f>
        <v>0</v>
      </c>
    </row>
    <row r="290" customFormat="false" ht="15" hidden="false" customHeight="false" outlineLevel="0" collapsed="false">
      <c r="A290" s="23" t="s">
        <v>882</v>
      </c>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row>
    <row r="291" customFormat="false" ht="15" hidden="false" customHeight="false" outlineLevel="0" collapsed="false">
      <c r="A291" s="29" t="s">
        <v>736</v>
      </c>
      <c r="B291" s="60" t="s">
        <v>832</v>
      </c>
      <c r="C291" s="66" t="n">
        <f aca="false">P291</f>
        <v>2183.2</v>
      </c>
      <c r="D291" s="66" t="n">
        <f aca="false">AB291</f>
        <v>2183.2</v>
      </c>
      <c r="E291" s="67" t="n">
        <f aca="false">Engagement_Register!$T$23+E25</f>
        <v>356.3</v>
      </c>
      <c r="F291" s="72" t="n">
        <f aca="false">E291+F25</f>
        <v>713.7</v>
      </c>
      <c r="G291" s="72" t="n">
        <f aca="false">F291+G25</f>
        <v>1132.9</v>
      </c>
      <c r="H291" s="72" t="n">
        <f aca="false">G291+H25</f>
        <v>1465.8</v>
      </c>
      <c r="I291" s="72" t="n">
        <f aca="false">H291+I25</f>
        <v>1773.3</v>
      </c>
      <c r="J291" s="72" t="n">
        <f aca="false">I291+J25</f>
        <v>2183.2</v>
      </c>
      <c r="K291" s="72" t="n">
        <f aca="false">J291+K25</f>
        <v>2183.2</v>
      </c>
      <c r="L291" s="72" t="n">
        <f aca="false">K291+L25</f>
        <v>2183.2</v>
      </c>
      <c r="M291" s="72" t="n">
        <f aca="false">L291+M25</f>
        <v>2183.2</v>
      </c>
      <c r="N291" s="72" t="n">
        <f aca="false">M291+N25</f>
        <v>2183.2</v>
      </c>
      <c r="O291" s="72" t="n">
        <f aca="false">N291+O25</f>
        <v>2183.2</v>
      </c>
      <c r="P291" s="72" t="n">
        <f aca="false">O291+P25</f>
        <v>2183.2</v>
      </c>
      <c r="Q291" s="72" t="n">
        <f aca="false">P291+Q25</f>
        <v>2183.2</v>
      </c>
      <c r="R291" s="72" t="n">
        <f aca="false">Q291+R25</f>
        <v>2183.2</v>
      </c>
      <c r="S291" s="72" t="n">
        <f aca="false">R291+S25</f>
        <v>2183.2</v>
      </c>
      <c r="T291" s="72" t="n">
        <f aca="false">S291+T25</f>
        <v>2183.2</v>
      </c>
      <c r="U291" s="72" t="n">
        <f aca="false">T291+U25</f>
        <v>2183.2</v>
      </c>
      <c r="V291" s="72" t="n">
        <f aca="false">U291+V25</f>
        <v>2183.2</v>
      </c>
      <c r="W291" s="72" t="n">
        <f aca="false">V291+W25</f>
        <v>2183.2</v>
      </c>
      <c r="X291" s="72" t="n">
        <f aca="false">W291+X25</f>
        <v>2183.2</v>
      </c>
      <c r="Y291" s="72" t="n">
        <f aca="false">X291+Y25</f>
        <v>2183.2</v>
      </c>
      <c r="Z291" s="72" t="n">
        <f aca="false">Y291+Z25</f>
        <v>2183.2</v>
      </c>
      <c r="AA291" s="72" t="n">
        <f aca="false">Z291+AA25</f>
        <v>2183.2</v>
      </c>
      <c r="AB291" s="72" t="n">
        <f aca="false">AA291+AB25</f>
        <v>2183.2</v>
      </c>
    </row>
    <row r="292" customFormat="false" ht="15" hidden="false" customHeight="false" outlineLevel="0" collapsed="false">
      <c r="A292" s="29" t="s">
        <v>833</v>
      </c>
      <c r="B292" s="60" t="s">
        <v>834</v>
      </c>
      <c r="C292" s="61" t="n">
        <f aca="false">SUM(E292:P292)</f>
        <v>429435.44</v>
      </c>
      <c r="D292" s="61" t="n">
        <f aca="false">SUM(Q292:AB292)</f>
        <v>0</v>
      </c>
      <c r="E292" s="62" t="n">
        <f aca="false">E25*Engagement_Register!$AD$23*Assumptions!E$194</f>
        <v>70084.21</v>
      </c>
      <c r="F292" s="62" t="n">
        <f aca="false">F25*Engagement_Register!$AD$23*Assumptions!F$194</f>
        <v>70300.58</v>
      </c>
      <c r="G292" s="62" t="n">
        <f aca="false">G25*Engagement_Register!$AD$23*Assumptions!G$194</f>
        <v>82456.64</v>
      </c>
      <c r="H292" s="62" t="n">
        <f aca="false">H25*Engagement_Register!$AD$23*Assumptions!H$194</f>
        <v>65481.43</v>
      </c>
      <c r="I292" s="62" t="n">
        <f aca="false">I25*Engagement_Register!$AD$23*Assumptions!I$194</f>
        <v>60485.25</v>
      </c>
      <c r="J292" s="62" t="n">
        <f aca="false">J25*Engagement_Register!$AD$23*Assumptions!J$194</f>
        <v>80627.33</v>
      </c>
      <c r="K292" s="62" t="n">
        <f aca="false">K25*Engagement_Register!$AD$23*Assumptions!K$194</f>
        <v>0</v>
      </c>
      <c r="L292" s="62" t="n">
        <f aca="false">L25*Engagement_Register!$AD$23*Assumptions!L$194</f>
        <v>0</v>
      </c>
      <c r="M292" s="62" t="n">
        <f aca="false">M25*Engagement_Register!$AD$23*Assumptions!M$194</f>
        <v>0</v>
      </c>
      <c r="N292" s="62" t="n">
        <f aca="false">N25*Engagement_Register!$AD$23*Assumptions!N$194</f>
        <v>0</v>
      </c>
      <c r="O292" s="62" t="n">
        <f aca="false">O25*Engagement_Register!$AD$23*Assumptions!O$194</f>
        <v>0</v>
      </c>
      <c r="P292" s="62" t="n">
        <f aca="false">P25*Engagement_Register!$AD$23*Assumptions!P$194</f>
        <v>0</v>
      </c>
      <c r="Q292" s="62" t="n">
        <f aca="false">Q25*Engagement_Register!$AD$23*Assumptions!Q$194</f>
        <v>0</v>
      </c>
      <c r="R292" s="62" t="n">
        <f aca="false">R25*Engagement_Register!$AD$23*Assumptions!R$194</f>
        <v>0</v>
      </c>
      <c r="S292" s="62" t="n">
        <f aca="false">S25*Engagement_Register!$AD$23*Assumptions!S$194</f>
        <v>0</v>
      </c>
      <c r="T292" s="62" t="n">
        <f aca="false">T25*Engagement_Register!$AD$23*Assumptions!T$194</f>
        <v>0</v>
      </c>
      <c r="U292" s="62" t="n">
        <f aca="false">U25*Engagement_Register!$AD$23*Assumptions!U$194</f>
        <v>0</v>
      </c>
      <c r="V292" s="62" t="n">
        <f aca="false">V25*Engagement_Register!$AD$23*Assumptions!V$194</f>
        <v>0</v>
      </c>
      <c r="W292" s="62" t="n">
        <f aca="false">W25*Engagement_Register!$AD$23*Assumptions!W$194</f>
        <v>0</v>
      </c>
      <c r="X292" s="62" t="n">
        <f aca="false">X25*Engagement_Register!$AD$23*Assumptions!X$194</f>
        <v>0</v>
      </c>
      <c r="Y292" s="62" t="n">
        <f aca="false">Y25*Engagement_Register!$AD$23*Assumptions!Y$194</f>
        <v>0</v>
      </c>
      <c r="Z292" s="62" t="n">
        <f aca="false">Z25*Engagement_Register!$AD$23*Assumptions!Z$194</f>
        <v>0</v>
      </c>
      <c r="AA292" s="62" t="n">
        <f aca="false">AA25*Engagement_Register!$AD$23*Assumptions!AA$194</f>
        <v>0</v>
      </c>
      <c r="AB292" s="62" t="n">
        <f aca="false">AB25*Engagement_Register!$AD$23*Assumptions!AB$194</f>
        <v>0</v>
      </c>
    </row>
    <row r="293" customFormat="false" ht="15" hidden="false" customHeight="false" outlineLevel="0" collapsed="false">
      <c r="A293" s="29" t="s">
        <v>835</v>
      </c>
      <c r="B293" s="60" t="s">
        <v>836</v>
      </c>
      <c r="C293" s="61" t="n">
        <f aca="false">SUM(E293:P293)</f>
        <v>403669.3136</v>
      </c>
      <c r="D293" s="61" t="n">
        <f aca="false">SUM(Q293:AB293)</f>
        <v>0</v>
      </c>
      <c r="E293" s="62" t="n">
        <f aca="false">E25*Engagement_Register!$AE$23*Assumptions!E$194</f>
        <v>65879.1574</v>
      </c>
      <c r="F293" s="62" t="n">
        <f aca="false">F25*Engagement_Register!$AE$23*Assumptions!F$194</f>
        <v>66082.5452</v>
      </c>
      <c r="G293" s="62" t="n">
        <f aca="false">G25*Engagement_Register!$AE$23*Assumptions!G$194</f>
        <v>77509.2416</v>
      </c>
      <c r="H293" s="62" t="n">
        <f aca="false">H25*Engagement_Register!$AE$23*Assumptions!H$194</f>
        <v>61552.5442</v>
      </c>
      <c r="I293" s="62" t="n">
        <f aca="false">I25*Engagement_Register!$AE$23*Assumptions!I$194</f>
        <v>56856.135</v>
      </c>
      <c r="J293" s="62" t="n">
        <f aca="false">J25*Engagement_Register!$AE$23*Assumptions!J$194</f>
        <v>75789.6902</v>
      </c>
      <c r="K293" s="62" t="n">
        <f aca="false">K25*Engagement_Register!$AE$23*Assumptions!K$194</f>
        <v>0</v>
      </c>
      <c r="L293" s="62" t="n">
        <f aca="false">L25*Engagement_Register!$AE$23*Assumptions!L$194</f>
        <v>0</v>
      </c>
      <c r="M293" s="62" t="n">
        <f aca="false">M25*Engagement_Register!$AE$23*Assumptions!M$194</f>
        <v>0</v>
      </c>
      <c r="N293" s="62" t="n">
        <f aca="false">N25*Engagement_Register!$AE$23*Assumptions!N$194</f>
        <v>0</v>
      </c>
      <c r="O293" s="62" t="n">
        <f aca="false">O25*Engagement_Register!$AE$23*Assumptions!O$194</f>
        <v>0</v>
      </c>
      <c r="P293" s="62" t="n">
        <f aca="false">P25*Engagement_Register!$AE$23*Assumptions!P$194</f>
        <v>0</v>
      </c>
      <c r="Q293" s="62" t="n">
        <f aca="false">Q25*Engagement_Register!$AE$23*Assumptions!Q$194</f>
        <v>0</v>
      </c>
      <c r="R293" s="62" t="n">
        <f aca="false">R25*Engagement_Register!$AE$23*Assumptions!R$194</f>
        <v>0</v>
      </c>
      <c r="S293" s="62" t="n">
        <f aca="false">S25*Engagement_Register!$AE$23*Assumptions!S$194</f>
        <v>0</v>
      </c>
      <c r="T293" s="62" t="n">
        <f aca="false">T25*Engagement_Register!$AE$23*Assumptions!T$194</f>
        <v>0</v>
      </c>
      <c r="U293" s="62" t="n">
        <f aca="false">U25*Engagement_Register!$AE$23*Assumptions!U$194</f>
        <v>0</v>
      </c>
      <c r="V293" s="62" t="n">
        <f aca="false">V25*Engagement_Register!$AE$23*Assumptions!V$194</f>
        <v>0</v>
      </c>
      <c r="W293" s="62" t="n">
        <f aca="false">W25*Engagement_Register!$AE$23*Assumptions!W$194</f>
        <v>0</v>
      </c>
      <c r="X293" s="62" t="n">
        <f aca="false">X25*Engagement_Register!$AE$23*Assumptions!X$194</f>
        <v>0</v>
      </c>
      <c r="Y293" s="62" t="n">
        <f aca="false">Y25*Engagement_Register!$AE$23*Assumptions!Y$194</f>
        <v>0</v>
      </c>
      <c r="Z293" s="62" t="n">
        <f aca="false">Z25*Engagement_Register!$AE$23*Assumptions!Z$194</f>
        <v>0</v>
      </c>
      <c r="AA293" s="62" t="n">
        <f aca="false">AA25*Engagement_Register!$AE$23*Assumptions!AA$194</f>
        <v>0</v>
      </c>
      <c r="AB293" s="62" t="n">
        <f aca="false">AB25*Engagement_Register!$AE$23*Assumptions!AB$194</f>
        <v>0</v>
      </c>
    </row>
    <row r="294" customFormat="false" ht="15" hidden="false" customHeight="false" outlineLevel="0" collapsed="false">
      <c r="A294" s="68" t="s">
        <v>349</v>
      </c>
      <c r="B294" s="69" t="s">
        <v>837</v>
      </c>
      <c r="C294" s="70" t="n">
        <f aca="false">SUM(E294:P294)</f>
        <v>393059.74</v>
      </c>
      <c r="D294" s="70" t="n">
        <f aca="false">SUM(Q294:AB294)</f>
        <v>0</v>
      </c>
      <c r="E294" s="74" t="n">
        <f aca="false">IF(E$5="A",Inputs_Actuals!E99,E293*(1-Engagement_Register!$AS$23))</f>
        <v>65007.64</v>
      </c>
      <c r="F294" s="74" t="n">
        <f aca="false">IF(F$5="A",Inputs_Actuals!F99,F293*(1-Engagement_Register!$AS$23))</f>
        <v>63221.56</v>
      </c>
      <c r="G294" s="74" t="n">
        <f aca="false">IF(G$5="A",Inputs_Actuals!G99,G293*(1-Engagement_Register!$AS$23))</f>
        <v>75138.31</v>
      </c>
      <c r="H294" s="74" t="n">
        <f aca="false">IF(H$5="A",Inputs_Actuals!H99,H293*(1-Engagement_Register!$AS$23))</f>
        <v>60479.27</v>
      </c>
      <c r="I294" s="74" t="n">
        <f aca="false">IF(I$5="A",Inputs_Actuals!I99,I293*(1-Engagement_Register!$AS$23))</f>
        <v>55924.92</v>
      </c>
      <c r="J294" s="74" t="n">
        <f aca="false">IF(J$5="A",Inputs_Actuals!J99,J293*(1-Engagement_Register!$AS$23))</f>
        <v>73288.04</v>
      </c>
      <c r="K294" s="74" t="n">
        <f aca="false">IF(K$5="A",Inputs_Actuals!K99,K293*(1-Engagement_Register!$AS$23))</f>
        <v>0</v>
      </c>
      <c r="L294" s="74" t="n">
        <f aca="false">IF(L$5="A",Inputs_Actuals!L99,L293*(1-Engagement_Register!$AS$23))</f>
        <v>0</v>
      </c>
      <c r="M294" s="74" t="n">
        <f aca="false">IF(M$5="A",Inputs_Actuals!M99,M293*(1-Engagement_Register!$AS$23))</f>
        <v>0</v>
      </c>
      <c r="N294" s="74" t="n">
        <f aca="false">IF(N$5="A",Inputs_Actuals!N99,N293*(1-Engagement_Register!$AS$23))</f>
        <v>0</v>
      </c>
      <c r="O294" s="74" t="n">
        <f aca="false">IF(O$5="A",Inputs_Actuals!O99,O293*(1-Engagement_Register!$AS$23))</f>
        <v>0</v>
      </c>
      <c r="P294" s="74" t="n">
        <f aca="false">IF(P$5="A",Inputs_Actuals!P99,P293*(1-Engagement_Register!$AS$23))</f>
        <v>0</v>
      </c>
      <c r="Q294" s="74" t="n">
        <f aca="false">IF(Q$5="A",Inputs_Actuals!Q99,Q293*(1-Engagement_Register!$AS$23))</f>
        <v>0</v>
      </c>
      <c r="R294" s="74" t="n">
        <f aca="false">IF(R$5="A",Inputs_Actuals!R99,R293*(1-Engagement_Register!$AS$23))</f>
        <v>0</v>
      </c>
      <c r="S294" s="74" t="n">
        <f aca="false">IF(S$5="A",Inputs_Actuals!S99,S293*(1-Engagement_Register!$AS$23))</f>
        <v>0</v>
      </c>
      <c r="T294" s="74" t="n">
        <f aca="false">IF(T$5="A",Inputs_Actuals!T99,T293*(1-Engagement_Register!$AS$23))</f>
        <v>0</v>
      </c>
      <c r="U294" s="74" t="n">
        <f aca="false">IF(U$5="A",Inputs_Actuals!U99,U293*(1-Engagement_Register!$AS$23))</f>
        <v>0</v>
      </c>
      <c r="V294" s="74" t="n">
        <f aca="false">IF(V$5="A",Inputs_Actuals!V99,V293*(1-Engagement_Register!$AS$23))</f>
        <v>0</v>
      </c>
      <c r="W294" s="74" t="n">
        <f aca="false">IF(W$5="A",Inputs_Actuals!W99,W293*(1-Engagement_Register!$AS$23))</f>
        <v>0</v>
      </c>
      <c r="X294" s="74" t="n">
        <f aca="false">IF(X$5="A",Inputs_Actuals!X99,X293*(1-Engagement_Register!$AS$23))</f>
        <v>0</v>
      </c>
      <c r="Y294" s="74" t="n">
        <f aca="false">IF(Y$5="A",Inputs_Actuals!Y99,Y293*(1-Engagement_Register!$AS$23))</f>
        <v>0</v>
      </c>
      <c r="Z294" s="74" t="n">
        <f aca="false">IF(Z$5="A",Inputs_Actuals!Z99,Z293*(1-Engagement_Register!$AS$23))</f>
        <v>0</v>
      </c>
      <c r="AA294" s="74" t="n">
        <f aca="false">IF(AA$5="A",Inputs_Actuals!AA99,AA293*(1-Engagement_Register!$AS$23))</f>
        <v>0</v>
      </c>
      <c r="AB294" s="74" t="n">
        <f aca="false">IF(AB$5="A",Inputs_Actuals!AB99,AB293*(1-Engagement_Register!$AS$23))</f>
        <v>0</v>
      </c>
    </row>
    <row r="295" customFormat="false" ht="15" hidden="false" customHeight="false" outlineLevel="0" collapsed="false">
      <c r="A295" s="29" t="s">
        <v>838</v>
      </c>
      <c r="B295" s="60" t="s">
        <v>839</v>
      </c>
      <c r="C295" s="61" t="n">
        <f aca="false">SUM(E295:P295)</f>
        <v>393059.74</v>
      </c>
      <c r="D295" s="61" t="n">
        <f aca="false">SUM(Q295:AB295)</f>
        <v>0</v>
      </c>
      <c r="E295" s="62" t="n">
        <f aca="false">IF(E$5="A",Inputs_Actuals!E100,0)</f>
        <v>0</v>
      </c>
      <c r="F295" s="62" t="n">
        <f aca="false">IF(F$5="A",Inputs_Actuals!F100,E294)</f>
        <v>65007.64</v>
      </c>
      <c r="G295" s="62" t="n">
        <f aca="false">IF(G$5="A",Inputs_Actuals!G100,F294)</f>
        <v>63221.56</v>
      </c>
      <c r="H295" s="62" t="n">
        <f aca="false">IF(H$5="A",Inputs_Actuals!H100,G294)</f>
        <v>75138.31</v>
      </c>
      <c r="I295" s="62" t="n">
        <f aca="false">IF(I$5="A",Inputs_Actuals!I100,H294)</f>
        <v>60479.27</v>
      </c>
      <c r="J295" s="62" t="n">
        <f aca="false">IF(J$5="A",Inputs_Actuals!J100,I294)</f>
        <v>55924.92</v>
      </c>
      <c r="K295" s="62" t="n">
        <f aca="false">IF(K$5="A",Inputs_Actuals!K100,J294)</f>
        <v>73288.04</v>
      </c>
      <c r="L295" s="62" t="n">
        <f aca="false">IF(L$5="A",Inputs_Actuals!L100,K294)</f>
        <v>0</v>
      </c>
      <c r="M295" s="62" t="n">
        <f aca="false">IF(M$5="A",Inputs_Actuals!M100,L294)</f>
        <v>0</v>
      </c>
      <c r="N295" s="62" t="n">
        <f aca="false">IF(N$5="A",Inputs_Actuals!N100,M294)</f>
        <v>0</v>
      </c>
      <c r="O295" s="62" t="n">
        <f aca="false">IF(O$5="A",Inputs_Actuals!O100,N294)</f>
        <v>0</v>
      </c>
      <c r="P295" s="62" t="n">
        <f aca="false">IF(P$5="A",Inputs_Actuals!P100,O294)</f>
        <v>0</v>
      </c>
      <c r="Q295" s="62" t="n">
        <f aca="false">IF(Q$5="A",Inputs_Actuals!Q100,P294)</f>
        <v>0</v>
      </c>
      <c r="R295" s="62" t="n">
        <f aca="false">IF(R$5="A",Inputs_Actuals!R100,Q294)</f>
        <v>0</v>
      </c>
      <c r="S295" s="62" t="n">
        <f aca="false">IF(S$5="A",Inputs_Actuals!S100,R294)</f>
        <v>0</v>
      </c>
      <c r="T295" s="62" t="n">
        <f aca="false">IF(T$5="A",Inputs_Actuals!T100,S294)</f>
        <v>0</v>
      </c>
      <c r="U295" s="62" t="n">
        <f aca="false">IF(U$5="A",Inputs_Actuals!U100,T294)</f>
        <v>0</v>
      </c>
      <c r="V295" s="62" t="n">
        <f aca="false">IF(V$5="A",Inputs_Actuals!V100,U294)</f>
        <v>0</v>
      </c>
      <c r="W295" s="62" t="n">
        <f aca="false">IF(W$5="A",Inputs_Actuals!W100,V294)</f>
        <v>0</v>
      </c>
      <c r="X295" s="62" t="n">
        <f aca="false">IF(X$5="A",Inputs_Actuals!X100,W294)</f>
        <v>0</v>
      </c>
      <c r="Y295" s="62" t="n">
        <f aca="false">IF(Y$5="A",Inputs_Actuals!Y100,X294)</f>
        <v>0</v>
      </c>
      <c r="Z295" s="62" t="n">
        <f aca="false">IF(Z$5="A",Inputs_Actuals!Z100,Y294)</f>
        <v>0</v>
      </c>
      <c r="AA295" s="62" t="n">
        <f aca="false">IF(AA$5="A",Inputs_Actuals!AA100,Z294)</f>
        <v>0</v>
      </c>
      <c r="AB295" s="62" t="n">
        <f aca="false">IF(AB$5="A",Inputs_Actuals!AB100,AA294)</f>
        <v>0</v>
      </c>
    </row>
    <row r="296" customFormat="false" ht="15" hidden="false" customHeight="false" outlineLevel="0" collapsed="false">
      <c r="A296" s="29" t="s">
        <v>840</v>
      </c>
      <c r="B296" s="60"/>
      <c r="C296" s="61" t="n">
        <f aca="false">P296</f>
        <v>393059.74</v>
      </c>
      <c r="D296" s="61" t="n">
        <f aca="false">AB296</f>
        <v>393059.74</v>
      </c>
      <c r="E296" s="62" t="n">
        <f aca="false">Engagement_Register!$V$23+E295</f>
        <v>0</v>
      </c>
      <c r="F296" s="71" t="n">
        <f aca="false">E296+F295</f>
        <v>65007.64</v>
      </c>
      <c r="G296" s="71" t="n">
        <f aca="false">F296+G295</f>
        <v>128229.2</v>
      </c>
      <c r="H296" s="71" t="n">
        <f aca="false">G296+H295</f>
        <v>203367.51</v>
      </c>
      <c r="I296" s="71" t="n">
        <f aca="false">H296+I295</f>
        <v>263846.78</v>
      </c>
      <c r="J296" s="71" t="n">
        <f aca="false">I296+J295</f>
        <v>319771.7</v>
      </c>
      <c r="K296" s="71" t="n">
        <f aca="false">J296+K295</f>
        <v>393059.74</v>
      </c>
      <c r="L296" s="71" t="n">
        <f aca="false">K296+L295</f>
        <v>393059.74</v>
      </c>
      <c r="M296" s="71" t="n">
        <f aca="false">L296+M295</f>
        <v>393059.74</v>
      </c>
      <c r="N296" s="71" t="n">
        <f aca="false">M296+N295</f>
        <v>393059.74</v>
      </c>
      <c r="O296" s="71" t="n">
        <f aca="false">N296+O295</f>
        <v>393059.74</v>
      </c>
      <c r="P296" s="71" t="n">
        <f aca="false">O296+P295</f>
        <v>393059.74</v>
      </c>
      <c r="Q296" s="71" t="n">
        <f aca="false">P296+Q295</f>
        <v>393059.74</v>
      </c>
      <c r="R296" s="71" t="n">
        <f aca="false">Q296+R295</f>
        <v>393059.74</v>
      </c>
      <c r="S296" s="71" t="n">
        <f aca="false">R296+S295</f>
        <v>393059.74</v>
      </c>
      <c r="T296" s="71" t="n">
        <f aca="false">S296+T295</f>
        <v>393059.74</v>
      </c>
      <c r="U296" s="71" t="n">
        <f aca="false">T296+U295</f>
        <v>393059.74</v>
      </c>
      <c r="V296" s="71" t="n">
        <f aca="false">U296+V295</f>
        <v>393059.74</v>
      </c>
      <c r="W296" s="71" t="n">
        <f aca="false">V296+W295</f>
        <v>393059.74</v>
      </c>
      <c r="X296" s="71" t="n">
        <f aca="false">W296+X295</f>
        <v>393059.74</v>
      </c>
      <c r="Y296" s="71" t="n">
        <f aca="false">X296+Y295</f>
        <v>393059.74</v>
      </c>
      <c r="Z296" s="71" t="n">
        <f aca="false">Y296+Z295</f>
        <v>393059.74</v>
      </c>
      <c r="AA296" s="71" t="n">
        <f aca="false">Z296+AA295</f>
        <v>393059.74</v>
      </c>
      <c r="AB296" s="71" t="n">
        <f aca="false">AA296+AB295</f>
        <v>393059.74</v>
      </c>
    </row>
    <row r="297" customFormat="false" ht="15" hidden="false" customHeight="false" outlineLevel="0" collapsed="false">
      <c r="A297" s="29" t="s">
        <v>841</v>
      </c>
      <c r="B297" s="60" t="s">
        <v>842</v>
      </c>
      <c r="C297" s="61" t="n">
        <f aca="false">SUM(E297:P297)</f>
        <v>26266.39</v>
      </c>
      <c r="D297" s="61" t="n">
        <f aca="false">SUM(Q297:AB297)</f>
        <v>0</v>
      </c>
      <c r="E297" s="62" t="n">
        <f aca="false">IF(E$5="A",Inputs_Actuals!E101,E25*Engagement_Register!$N$23*Assumptions!E$195)</f>
        <v>4394.13</v>
      </c>
      <c r="F297" s="62" t="n">
        <f aca="false">IF(F$5="A",Inputs_Actuals!F101,F25*Engagement_Register!$N$23*Assumptions!F$195)</f>
        <v>4403.39</v>
      </c>
      <c r="G297" s="62" t="n">
        <f aca="false">IF(G$5="A",Inputs_Actuals!G101,G25*Engagement_Register!$N$23*Assumptions!G$195)</f>
        <v>5031.14</v>
      </c>
      <c r="H297" s="62" t="n">
        <f aca="false">IF(H$5="A",Inputs_Actuals!H101,H25*Engagement_Register!$N$23*Assumptions!H$195)</f>
        <v>3602.11</v>
      </c>
      <c r="I297" s="62" t="n">
        <f aca="false">IF(I$5="A",Inputs_Actuals!I101,I25*Engagement_Register!$N$23*Assumptions!I$195)</f>
        <v>3669.61</v>
      </c>
      <c r="J297" s="62" t="n">
        <f aca="false">IF(J$5="A",Inputs_Actuals!J101,J25*Engagement_Register!$N$23*Assumptions!J$195)</f>
        <v>5166.01</v>
      </c>
      <c r="K297" s="62" t="n">
        <f aca="false">IF(K$5="A",Inputs_Actuals!K101,K25*Engagement_Register!$N$23*Assumptions!K$195)</f>
        <v>0</v>
      </c>
      <c r="L297" s="62" t="n">
        <f aca="false">IF(L$5="A",Inputs_Actuals!L101,L25*Engagement_Register!$N$23*Assumptions!L$195)</f>
        <v>0</v>
      </c>
      <c r="M297" s="62" t="n">
        <f aca="false">IF(M$5="A",Inputs_Actuals!M101,M25*Engagement_Register!$N$23*Assumptions!M$195)</f>
        <v>0</v>
      </c>
      <c r="N297" s="62" t="n">
        <f aca="false">IF(N$5="A",Inputs_Actuals!N101,N25*Engagement_Register!$N$23*Assumptions!N$195)</f>
        <v>0</v>
      </c>
      <c r="O297" s="62" t="n">
        <f aca="false">IF(O$5="A",Inputs_Actuals!O101,O25*Engagement_Register!$N$23*Assumptions!O$195)</f>
        <v>0</v>
      </c>
      <c r="P297" s="62" t="n">
        <f aca="false">IF(P$5="A",Inputs_Actuals!P101,P25*Engagement_Register!$N$23*Assumptions!P$195)</f>
        <v>0</v>
      </c>
      <c r="Q297" s="62" t="n">
        <f aca="false">IF(Q$5="A",Inputs_Actuals!Q101,Q25*Engagement_Register!$N$23*Assumptions!Q$195)</f>
        <v>0</v>
      </c>
      <c r="R297" s="62" t="n">
        <f aca="false">IF(R$5="A",Inputs_Actuals!R101,R25*Engagement_Register!$N$23*Assumptions!R$195)</f>
        <v>0</v>
      </c>
      <c r="S297" s="62" t="n">
        <f aca="false">IF(S$5="A",Inputs_Actuals!S101,S25*Engagement_Register!$N$23*Assumptions!S$195)</f>
        <v>0</v>
      </c>
      <c r="T297" s="62" t="n">
        <f aca="false">IF(T$5="A",Inputs_Actuals!T101,T25*Engagement_Register!$N$23*Assumptions!T$195)</f>
        <v>0</v>
      </c>
      <c r="U297" s="62" t="n">
        <f aca="false">IF(U$5="A",Inputs_Actuals!U101,U25*Engagement_Register!$N$23*Assumptions!U$195)</f>
        <v>0</v>
      </c>
      <c r="V297" s="62" t="n">
        <f aca="false">IF(V$5="A",Inputs_Actuals!V101,V25*Engagement_Register!$N$23*Assumptions!V$195)</f>
        <v>0</v>
      </c>
      <c r="W297" s="62" t="n">
        <f aca="false">IF(W$5="A",Inputs_Actuals!W101,W25*Engagement_Register!$N$23*Assumptions!W$195)</f>
        <v>0</v>
      </c>
      <c r="X297" s="62" t="n">
        <f aca="false">IF(X$5="A",Inputs_Actuals!X101,X25*Engagement_Register!$N$23*Assumptions!X$195)</f>
        <v>0</v>
      </c>
      <c r="Y297" s="62" t="n">
        <f aca="false">IF(Y$5="A",Inputs_Actuals!Y101,Y25*Engagement_Register!$N$23*Assumptions!Y$195)</f>
        <v>0</v>
      </c>
      <c r="Z297" s="62" t="n">
        <f aca="false">IF(Z$5="A",Inputs_Actuals!Z101,Z25*Engagement_Register!$N$23*Assumptions!Z$195)</f>
        <v>0</v>
      </c>
      <c r="AA297" s="62" t="n">
        <f aca="false">IF(AA$5="A",Inputs_Actuals!AA101,AA25*Engagement_Register!$N$23*Assumptions!AA$195)</f>
        <v>0</v>
      </c>
      <c r="AB297" s="62" t="n">
        <f aca="false">IF(AB$5="A",Inputs_Actuals!AB101,AB25*Engagement_Register!$N$23*Assumptions!AB$195)</f>
        <v>0</v>
      </c>
    </row>
    <row r="298" customFormat="false" ht="15" hidden="false" customHeight="false" outlineLevel="0" collapsed="false">
      <c r="A298" s="29" t="s">
        <v>843</v>
      </c>
      <c r="B298" s="60" t="s">
        <v>844</v>
      </c>
      <c r="C298" s="61" t="n">
        <f aca="false">SUM(E298:P298)</f>
        <v>26266.39</v>
      </c>
      <c r="D298" s="61" t="n">
        <f aca="false">SUM(Q298:AB298)</f>
        <v>0</v>
      </c>
      <c r="E298" s="71" t="n">
        <f aca="false">E297</f>
        <v>4394.13</v>
      </c>
      <c r="F298" s="71" t="n">
        <f aca="false">F297</f>
        <v>4403.39</v>
      </c>
      <c r="G298" s="71" t="n">
        <f aca="false">G297</f>
        <v>5031.14</v>
      </c>
      <c r="H298" s="71" t="n">
        <f aca="false">H297</f>
        <v>3602.11</v>
      </c>
      <c r="I298" s="71" t="n">
        <f aca="false">I297</f>
        <v>3669.61</v>
      </c>
      <c r="J298" s="71" t="n">
        <f aca="false">J297</f>
        <v>5166.01</v>
      </c>
      <c r="K298" s="71" t="n">
        <f aca="false">K297</f>
        <v>0</v>
      </c>
      <c r="L298" s="71" t="n">
        <f aca="false">L297</f>
        <v>0</v>
      </c>
      <c r="M298" s="71" t="n">
        <f aca="false">M297</f>
        <v>0</v>
      </c>
      <c r="N298" s="71" t="n">
        <f aca="false">N297</f>
        <v>0</v>
      </c>
      <c r="O298" s="71" t="n">
        <f aca="false">O297</f>
        <v>0</v>
      </c>
      <c r="P298" s="71" t="n">
        <f aca="false">P297</f>
        <v>0</v>
      </c>
      <c r="Q298" s="71" t="n">
        <f aca="false">Q297</f>
        <v>0</v>
      </c>
      <c r="R298" s="71" t="n">
        <f aca="false">R297</f>
        <v>0</v>
      </c>
      <c r="S298" s="71" t="n">
        <f aca="false">S297</f>
        <v>0</v>
      </c>
      <c r="T298" s="71" t="n">
        <f aca="false">T297</f>
        <v>0</v>
      </c>
      <c r="U298" s="71" t="n">
        <f aca="false">U297</f>
        <v>0</v>
      </c>
      <c r="V298" s="71" t="n">
        <f aca="false">V297</f>
        <v>0</v>
      </c>
      <c r="W298" s="71" t="n">
        <f aca="false">W297</f>
        <v>0</v>
      </c>
      <c r="X298" s="71" t="n">
        <f aca="false">X297</f>
        <v>0</v>
      </c>
      <c r="Y298" s="71" t="n">
        <f aca="false">Y297</f>
        <v>0</v>
      </c>
      <c r="Z298" s="71" t="n">
        <f aca="false">Z297</f>
        <v>0</v>
      </c>
      <c r="AA298" s="71" t="n">
        <f aca="false">AA297</f>
        <v>0</v>
      </c>
      <c r="AB298" s="71" t="n">
        <f aca="false">AB297</f>
        <v>0</v>
      </c>
    </row>
    <row r="299" customFormat="false" ht="15" hidden="false" customHeight="false" outlineLevel="0" collapsed="false">
      <c r="A299" s="29" t="s">
        <v>845</v>
      </c>
      <c r="B299" s="60" t="s">
        <v>846</v>
      </c>
      <c r="C299" s="61" t="n">
        <f aca="false">SUM(E299:P299)</f>
        <v>26266.39</v>
      </c>
      <c r="D299" s="61" t="n">
        <f aca="false">SUM(Q299:AB299)</f>
        <v>0</v>
      </c>
      <c r="E299" s="62" t="n">
        <f aca="false">IF(E$5="A",Inputs_Actuals!E102,0)</f>
        <v>0</v>
      </c>
      <c r="F299" s="62" t="n">
        <f aca="false">IF(F$5="A",Inputs_Actuals!F102,E298)</f>
        <v>4394.13</v>
      </c>
      <c r="G299" s="62" t="n">
        <f aca="false">IF(G$5="A",Inputs_Actuals!G102,F298)</f>
        <v>4403.39</v>
      </c>
      <c r="H299" s="62" t="n">
        <f aca="false">IF(H$5="A",Inputs_Actuals!H102,G298)</f>
        <v>5031.14</v>
      </c>
      <c r="I299" s="62" t="n">
        <f aca="false">IF(I$5="A",Inputs_Actuals!I102,H298)</f>
        <v>3602.11</v>
      </c>
      <c r="J299" s="62" t="n">
        <f aca="false">IF(J$5="A",Inputs_Actuals!J102,I298)</f>
        <v>3669.61</v>
      </c>
      <c r="K299" s="62" t="n">
        <f aca="false">IF(K$5="A",Inputs_Actuals!K102,J298)</f>
        <v>5166.01</v>
      </c>
      <c r="L299" s="62" t="n">
        <f aca="false">IF(L$5="A",Inputs_Actuals!L102,K298)</f>
        <v>0</v>
      </c>
      <c r="M299" s="62" t="n">
        <f aca="false">IF(M$5="A",Inputs_Actuals!M102,L298)</f>
        <v>0</v>
      </c>
      <c r="N299" s="62" t="n">
        <f aca="false">IF(N$5="A",Inputs_Actuals!N102,M298)</f>
        <v>0</v>
      </c>
      <c r="O299" s="62" t="n">
        <f aca="false">IF(O$5="A",Inputs_Actuals!O102,N298)</f>
        <v>0</v>
      </c>
      <c r="P299" s="62" t="n">
        <f aca="false">IF(P$5="A",Inputs_Actuals!P102,O298)</f>
        <v>0</v>
      </c>
      <c r="Q299" s="62" t="n">
        <f aca="false">IF(Q$5="A",Inputs_Actuals!Q102,P298)</f>
        <v>0</v>
      </c>
      <c r="R299" s="62" t="n">
        <f aca="false">IF(R$5="A",Inputs_Actuals!R102,Q298)</f>
        <v>0</v>
      </c>
      <c r="S299" s="62" t="n">
        <f aca="false">IF(S$5="A",Inputs_Actuals!S102,R298)</f>
        <v>0</v>
      </c>
      <c r="T299" s="62" t="n">
        <f aca="false">IF(T$5="A",Inputs_Actuals!T102,S298)</f>
        <v>0</v>
      </c>
      <c r="U299" s="62" t="n">
        <f aca="false">IF(U$5="A",Inputs_Actuals!U102,T298)</f>
        <v>0</v>
      </c>
      <c r="V299" s="62" t="n">
        <f aca="false">IF(V$5="A",Inputs_Actuals!V102,U298)</f>
        <v>0</v>
      </c>
      <c r="W299" s="62" t="n">
        <f aca="false">IF(W$5="A",Inputs_Actuals!W102,V298)</f>
        <v>0</v>
      </c>
      <c r="X299" s="62" t="n">
        <f aca="false">IF(X$5="A",Inputs_Actuals!X102,W298)</f>
        <v>0</v>
      </c>
      <c r="Y299" s="62" t="n">
        <f aca="false">IF(Y$5="A",Inputs_Actuals!Y102,X298)</f>
        <v>0</v>
      </c>
      <c r="Z299" s="62" t="n">
        <f aca="false">IF(Z$5="A",Inputs_Actuals!Z102,Y298)</f>
        <v>0</v>
      </c>
      <c r="AA299" s="62" t="n">
        <f aca="false">IF(AA$5="A",Inputs_Actuals!AA102,Z298)</f>
        <v>0</v>
      </c>
      <c r="AB299" s="62" t="n">
        <f aca="false">IF(AB$5="A",Inputs_Actuals!AB102,AA298)</f>
        <v>0</v>
      </c>
    </row>
    <row r="300" customFormat="false" ht="15" hidden="false" customHeight="false" outlineLevel="0" collapsed="false">
      <c r="A300" s="29" t="s">
        <v>847</v>
      </c>
      <c r="B300" s="60" t="s">
        <v>848</v>
      </c>
      <c r="C300" s="61" t="n">
        <f aca="false">P300</f>
        <v>0</v>
      </c>
      <c r="D300" s="61" t="n">
        <f aca="false">AB300</f>
        <v>0</v>
      </c>
      <c r="E300" s="62" t="n">
        <f aca="false">Engagement_Register!$X$23+E294+E298-E299-E295</f>
        <v>69401.77</v>
      </c>
      <c r="F300" s="71" t="n">
        <f aca="false">E300+F294+F298-F299-F295</f>
        <v>67624.95</v>
      </c>
      <c r="G300" s="71" t="n">
        <f aca="false">F300+G294+G298-G299-G295</f>
        <v>80169.45</v>
      </c>
      <c r="H300" s="71" t="n">
        <f aca="false">G300+H294+H298-H299-H295</f>
        <v>64081.38</v>
      </c>
      <c r="I300" s="71" t="n">
        <f aca="false">H300+I294+I298-I299-I295</f>
        <v>59594.53</v>
      </c>
      <c r="J300" s="71" t="n">
        <f aca="false">I300+J294+J298-J299-J295</f>
        <v>78454.05</v>
      </c>
      <c r="K300" s="71" t="n">
        <f aca="false">J300+K294+K298-K299-K295</f>
        <v>0</v>
      </c>
      <c r="L300" s="71" t="n">
        <f aca="false">K300+L294+L298-L299-L295</f>
        <v>0</v>
      </c>
      <c r="M300" s="71" t="n">
        <f aca="false">L300+M294+M298-M299-M295</f>
        <v>0</v>
      </c>
      <c r="N300" s="71" t="n">
        <f aca="false">M300+N294+N298-N299-N295</f>
        <v>0</v>
      </c>
      <c r="O300" s="71" t="n">
        <f aca="false">N300+O294+O298-O299-O295</f>
        <v>0</v>
      </c>
      <c r="P300" s="71" t="n">
        <f aca="false">O300+P294+P298-P299-P295</f>
        <v>0</v>
      </c>
      <c r="Q300" s="71" t="n">
        <f aca="false">P300+Q294+Q298-Q299-Q295</f>
        <v>0</v>
      </c>
      <c r="R300" s="71" t="n">
        <f aca="false">Q300+R294+R298-R299-R295</f>
        <v>0</v>
      </c>
      <c r="S300" s="71" t="n">
        <f aca="false">R300+S294+S298-S299-S295</f>
        <v>0</v>
      </c>
      <c r="T300" s="71" t="n">
        <f aca="false">S300+T294+T298-T299-T295</f>
        <v>0</v>
      </c>
      <c r="U300" s="71" t="n">
        <f aca="false">T300+U294+U298-U299-U295</f>
        <v>0</v>
      </c>
      <c r="V300" s="71" t="n">
        <f aca="false">U300+V294+V298-V299-V295</f>
        <v>0</v>
      </c>
      <c r="W300" s="71" t="n">
        <f aca="false">V300+W294+W298-W299-W295</f>
        <v>0</v>
      </c>
      <c r="X300" s="71" t="n">
        <f aca="false">W300+X294+X298-X299-X295</f>
        <v>0</v>
      </c>
      <c r="Y300" s="71" t="n">
        <f aca="false">X300+Y294+Y298-Y299-Y295</f>
        <v>0</v>
      </c>
      <c r="Z300" s="71" t="n">
        <f aca="false">Y300+Z294+Z298-Z299-Z295</f>
        <v>0</v>
      </c>
      <c r="AA300" s="71" t="n">
        <f aca="false">Z300+AA294+AA298-AA299-AA295</f>
        <v>0</v>
      </c>
      <c r="AB300" s="71" t="n">
        <f aca="false">AA300+AB294+AB298-AB299-AB295</f>
        <v>0</v>
      </c>
    </row>
    <row r="301" customFormat="false" ht="15" hidden="false" customHeight="false" outlineLevel="0" collapsed="false">
      <c r="A301" s="29" t="s">
        <v>849</v>
      </c>
      <c r="B301" s="60" t="s">
        <v>850</v>
      </c>
      <c r="C301" s="61" t="n">
        <f aca="false">P301</f>
        <v>0</v>
      </c>
      <c r="D301" s="61" t="n">
        <f aca="false">AB301</f>
        <v>0</v>
      </c>
      <c r="E301" s="62" t="n">
        <f aca="false">MAX(0,Engagement_Register!$AM$23-E291)*Engagement_Register!$AE$23*Assumptions!E$194*(1-Engagement_Register!$AS$23)</f>
        <v>325534.172002493</v>
      </c>
      <c r="F301" s="62" t="n">
        <f aca="false">MAX(0,Engagement_Register!$AM$23-F291)*Engagement_Register!$AE$23*Assumptions!F$194*(1-Engagement_Register!$AS$23)</f>
        <v>261849.28882679</v>
      </c>
      <c r="G301" s="62" t="n">
        <f aca="false">MAX(0,Engagement_Register!$AM$23-G291)*Engagement_Register!$AE$23*Assumptions!G$194*(1-Engagement_Register!$AS$23)</f>
        <v>187152.302180863</v>
      </c>
      <c r="H301" s="62" t="n">
        <f aca="false">MAX(0,Engagement_Register!$AM$23-H291)*Engagement_Register!$AE$23*Assumptions!H$194*(1-Engagement_Register!$AS$23)</f>
        <v>127833.058730411</v>
      </c>
      <c r="I301" s="62" t="n">
        <f aca="false">MAX(0,Engagement_Register!$AM$23-I291)*Engagement_Register!$AE$23*Assumptions!I$194*(1-Engagement_Register!$AS$23)</f>
        <v>73039.8254440974</v>
      </c>
      <c r="J301" s="62" t="n">
        <f aca="false">MAX(0,Engagement_Register!$AM$23-J291)*Engagement_Register!$AE$23*Assumptions!J$194*(1-Engagement_Register!$AS$23)</f>
        <v>0</v>
      </c>
      <c r="K301" s="62" t="n">
        <f aca="false">MAX(0,Engagement_Register!$AM$23-K291)*Engagement_Register!$AE$23*Assumptions!K$194*(1-Engagement_Register!$AS$23)</f>
        <v>0</v>
      </c>
      <c r="L301" s="62" t="n">
        <f aca="false">MAX(0,Engagement_Register!$AM$23-L291)*Engagement_Register!$AE$23*Assumptions!L$194*(1-Engagement_Register!$AS$23)</f>
        <v>0</v>
      </c>
      <c r="M301" s="62" t="n">
        <f aca="false">MAX(0,Engagement_Register!$AM$23-M291)*Engagement_Register!$AE$23*Assumptions!M$194*(1-Engagement_Register!$AS$23)</f>
        <v>0</v>
      </c>
      <c r="N301" s="62" t="n">
        <f aca="false">MAX(0,Engagement_Register!$AM$23-N291)*Engagement_Register!$AE$23*Assumptions!N$194*(1-Engagement_Register!$AS$23)</f>
        <v>0</v>
      </c>
      <c r="O301" s="62" t="n">
        <f aca="false">MAX(0,Engagement_Register!$AM$23-O291)*Engagement_Register!$AE$23*Assumptions!O$194*(1-Engagement_Register!$AS$23)</f>
        <v>0</v>
      </c>
      <c r="P301" s="62" t="n">
        <f aca="false">MAX(0,Engagement_Register!$AM$23-P291)*Engagement_Register!$AE$23*Assumptions!P$194*(1-Engagement_Register!$AS$23)</f>
        <v>0</v>
      </c>
      <c r="Q301" s="62" t="n">
        <f aca="false">MAX(0,Engagement_Register!$AM$23-Q291)*Engagement_Register!$AE$23*Assumptions!Q$194*(1-Engagement_Register!$AS$23)</f>
        <v>0</v>
      </c>
      <c r="R301" s="62" t="n">
        <f aca="false">MAX(0,Engagement_Register!$AM$23-R291)*Engagement_Register!$AE$23*Assumptions!R$194*(1-Engagement_Register!$AS$23)</f>
        <v>0</v>
      </c>
      <c r="S301" s="62" t="n">
        <f aca="false">MAX(0,Engagement_Register!$AM$23-S291)*Engagement_Register!$AE$23*Assumptions!S$194*(1-Engagement_Register!$AS$23)</f>
        <v>0</v>
      </c>
      <c r="T301" s="62" t="n">
        <f aca="false">MAX(0,Engagement_Register!$AM$23-T291)*Engagement_Register!$AE$23*Assumptions!T$194*(1-Engagement_Register!$AS$23)</f>
        <v>0</v>
      </c>
      <c r="U301" s="62" t="n">
        <f aca="false">MAX(0,Engagement_Register!$AM$23-U291)*Engagement_Register!$AE$23*Assumptions!U$194*(1-Engagement_Register!$AS$23)</f>
        <v>0</v>
      </c>
      <c r="V301" s="62" t="n">
        <f aca="false">MAX(0,Engagement_Register!$AM$23-V291)*Engagement_Register!$AE$23*Assumptions!V$194*(1-Engagement_Register!$AS$23)</f>
        <v>0</v>
      </c>
      <c r="W301" s="62" t="n">
        <f aca="false">MAX(0,Engagement_Register!$AM$23-W291)*Engagement_Register!$AE$23*Assumptions!W$194*(1-Engagement_Register!$AS$23)</f>
        <v>0</v>
      </c>
      <c r="X301" s="62" t="n">
        <f aca="false">MAX(0,Engagement_Register!$AM$23-X291)*Engagement_Register!$AE$23*Assumptions!X$194*(1-Engagement_Register!$AS$23)</f>
        <v>0</v>
      </c>
      <c r="Y301" s="62" t="n">
        <f aca="false">MAX(0,Engagement_Register!$AM$23-Y291)*Engagement_Register!$AE$23*Assumptions!Y$194*(1-Engagement_Register!$AS$23)</f>
        <v>0</v>
      </c>
      <c r="Z301" s="62" t="n">
        <f aca="false">MAX(0,Engagement_Register!$AM$23-Z291)*Engagement_Register!$AE$23*Assumptions!Z$194*(1-Engagement_Register!$AS$23)</f>
        <v>0</v>
      </c>
      <c r="AA301" s="62" t="n">
        <f aca="false">MAX(0,Engagement_Register!$AM$23-AA291)*Engagement_Register!$AE$23*Assumptions!AA$194*(1-Engagement_Register!$AS$23)</f>
        <v>0</v>
      </c>
      <c r="AB301" s="62" t="n">
        <f aca="false">MAX(0,Engagement_Register!$AM$23-AB291)*Engagement_Register!$AE$23*Assumptions!AB$194*(1-Engagement_Register!$AS$23)</f>
        <v>0</v>
      </c>
    </row>
    <row r="303" customFormat="false" ht="15" hidden="false" customHeight="false" outlineLevel="0" collapsed="false">
      <c r="A303" s="23" t="s">
        <v>883</v>
      </c>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row>
    <row r="304" customFormat="false" ht="15" hidden="false" customHeight="false" outlineLevel="0" collapsed="false">
      <c r="A304" s="29" t="s">
        <v>736</v>
      </c>
      <c r="B304" s="60" t="s">
        <v>832</v>
      </c>
      <c r="C304" s="66" t="n">
        <f aca="false">P304</f>
        <v>1316.62921348315</v>
      </c>
      <c r="D304" s="66" t="n">
        <f aca="false">AB304</f>
        <v>2205</v>
      </c>
      <c r="E304" s="67" t="n">
        <f aca="false">Engagement_Register!$T$24+E26</f>
        <v>0</v>
      </c>
      <c r="F304" s="72" t="n">
        <f aca="false">E304+F26</f>
        <v>0</v>
      </c>
      <c r="G304" s="72" t="n">
        <f aca="false">F304+G26</f>
        <v>0</v>
      </c>
      <c r="H304" s="72" t="n">
        <f aca="false">G304+H26</f>
        <v>0</v>
      </c>
      <c r="I304" s="72" t="n">
        <f aca="false">H304+I26</f>
        <v>0</v>
      </c>
      <c r="J304" s="72" t="n">
        <f aca="false">I304+J26</f>
        <v>0</v>
      </c>
      <c r="K304" s="72" t="n">
        <f aca="false">J304+K26</f>
        <v>0</v>
      </c>
      <c r="L304" s="72" t="n">
        <f aca="false">K304+L26</f>
        <v>0</v>
      </c>
      <c r="M304" s="72" t="n">
        <f aca="false">L304+M26</f>
        <v>338.005617977528</v>
      </c>
      <c r="N304" s="72" t="n">
        <f aca="false">M304+N26</f>
        <v>663.623595505618</v>
      </c>
      <c r="O304" s="72" t="n">
        <f aca="false">N304+O26</f>
        <v>985.702247191011</v>
      </c>
      <c r="P304" s="72" t="n">
        <f aca="false">O304+P26</f>
        <v>1316.62921348315</v>
      </c>
      <c r="Q304" s="72" t="n">
        <f aca="false">P304+Q26</f>
        <v>1599.77528089888</v>
      </c>
      <c r="R304" s="72" t="n">
        <f aca="false">Q304+R26</f>
        <v>1891.76966292135</v>
      </c>
      <c r="S304" s="72" t="n">
        <f aca="false">R304+S26</f>
        <v>2205</v>
      </c>
      <c r="T304" s="72" t="n">
        <f aca="false">S304+T26</f>
        <v>2205</v>
      </c>
      <c r="U304" s="72" t="n">
        <f aca="false">T304+U26</f>
        <v>2205</v>
      </c>
      <c r="V304" s="72" t="n">
        <f aca="false">U304+V26</f>
        <v>2205</v>
      </c>
      <c r="W304" s="72" t="n">
        <f aca="false">V304+W26</f>
        <v>2205</v>
      </c>
      <c r="X304" s="72" t="n">
        <f aca="false">W304+X26</f>
        <v>2205</v>
      </c>
      <c r="Y304" s="72" t="n">
        <f aca="false">X304+Y26</f>
        <v>2205</v>
      </c>
      <c r="Z304" s="72" t="n">
        <f aca="false">Y304+Z26</f>
        <v>2205</v>
      </c>
      <c r="AA304" s="72" t="n">
        <f aca="false">Z304+AA26</f>
        <v>2205</v>
      </c>
      <c r="AB304" s="72" t="n">
        <f aca="false">AA304+AB26</f>
        <v>2205</v>
      </c>
    </row>
    <row r="305" customFormat="false" ht="15" hidden="false" customHeight="false" outlineLevel="0" collapsed="false">
      <c r="A305" s="29" t="s">
        <v>852</v>
      </c>
      <c r="B305" s="60" t="s">
        <v>853</v>
      </c>
      <c r="C305" s="66" t="n">
        <f aca="false">P305</f>
        <v>2205</v>
      </c>
      <c r="D305" s="66" t="n">
        <f aca="false">AB305</f>
        <v>2205</v>
      </c>
      <c r="E305" s="67" t="n">
        <f aca="false">IF(E$5="A",Engagement_Register!$AM$24,Engagement_Register!$AM$24)</f>
        <v>2205</v>
      </c>
      <c r="F305" s="67" t="n">
        <f aca="false">IF(F$5="A",Engagement_Register!$AM$24,Engagement_Register!$AM$24)</f>
        <v>2205</v>
      </c>
      <c r="G305" s="67" t="n">
        <f aca="false">IF(G$5="A",Engagement_Register!$AM$24,Engagement_Register!$AM$24)</f>
        <v>2205</v>
      </c>
      <c r="H305" s="67" t="n">
        <f aca="false">IF(H$5="A",Engagement_Register!$AM$24,Engagement_Register!$AM$24)</f>
        <v>2205</v>
      </c>
      <c r="I305" s="67" t="n">
        <f aca="false">IF(I$5="A",Engagement_Register!$AM$24,Engagement_Register!$AM$24)</f>
        <v>2205</v>
      </c>
      <c r="J305" s="67" t="n">
        <f aca="false">IF(J$5="A",Engagement_Register!$AM$24,Engagement_Register!$AM$24)</f>
        <v>2205</v>
      </c>
      <c r="K305" s="67" t="n">
        <f aca="false">IF(K$5="A",Engagement_Register!$AM$24,Engagement_Register!$AM$24)</f>
        <v>2205</v>
      </c>
      <c r="L305" s="67" t="n">
        <f aca="false">IF(L$5="A",Engagement_Register!$AM$24,Engagement_Register!$AM$24)</f>
        <v>2205</v>
      </c>
      <c r="M305" s="67" t="n">
        <f aca="false">IF(M$5="A",Engagement_Register!$AM$24,Engagement_Register!$AM$24)</f>
        <v>2205</v>
      </c>
      <c r="N305" s="67" t="n">
        <f aca="false">IF(N$5="A",Engagement_Register!$AM$24,Engagement_Register!$AM$24)</f>
        <v>2205</v>
      </c>
      <c r="O305" s="67" t="n">
        <f aca="false">IF(O$5="A",Engagement_Register!$AM$24,Engagement_Register!$AM$24)</f>
        <v>2205</v>
      </c>
      <c r="P305" s="67" t="n">
        <f aca="false">IF(P$5="A",Engagement_Register!$AM$24,Engagement_Register!$AM$24)</f>
        <v>2205</v>
      </c>
      <c r="Q305" s="67" t="n">
        <f aca="false">IF(Q$5="A",Engagement_Register!$AM$24,Engagement_Register!$AM$24)</f>
        <v>2205</v>
      </c>
      <c r="R305" s="67" t="n">
        <f aca="false">IF(R$5="A",Engagement_Register!$AM$24,Engagement_Register!$AM$24)</f>
        <v>2205</v>
      </c>
      <c r="S305" s="67" t="n">
        <f aca="false">IF(S$5="A",Engagement_Register!$AM$24,Engagement_Register!$AM$24)</f>
        <v>2205</v>
      </c>
      <c r="T305" s="67" t="n">
        <f aca="false">IF(T$5="A",Engagement_Register!$AM$24,Engagement_Register!$AM$24)</f>
        <v>2205</v>
      </c>
      <c r="U305" s="67" t="n">
        <f aca="false">IF(U$5="A",Engagement_Register!$AM$24,Engagement_Register!$AM$24)</f>
        <v>2205</v>
      </c>
      <c r="V305" s="67" t="n">
        <f aca="false">IF(V$5="A",Engagement_Register!$AM$24,Engagement_Register!$AM$24)</f>
        <v>2205</v>
      </c>
      <c r="W305" s="67" t="n">
        <f aca="false">IF(W$5="A",Engagement_Register!$AM$24,Engagement_Register!$AM$24)</f>
        <v>2205</v>
      </c>
      <c r="X305" s="67" t="n">
        <f aca="false">IF(X$5="A",Engagement_Register!$AM$24,Engagement_Register!$AM$24)</f>
        <v>2205</v>
      </c>
      <c r="Y305" s="67" t="n">
        <f aca="false">IF(Y$5="A",Engagement_Register!$AM$24,Engagement_Register!$AM$24)</f>
        <v>2205</v>
      </c>
      <c r="Z305" s="67" t="n">
        <f aca="false">IF(Z$5="A",Engagement_Register!$AM$24,Engagement_Register!$AM$24)</f>
        <v>2205</v>
      </c>
      <c r="AA305" s="67" t="n">
        <f aca="false">IF(AA$5="A",Engagement_Register!$AM$24,Engagement_Register!$AM$24)</f>
        <v>2205</v>
      </c>
      <c r="AB305" s="67" t="n">
        <f aca="false">IF(AB$5="A",Engagement_Register!$AM$24,Engagement_Register!$AM$24)</f>
        <v>2205</v>
      </c>
    </row>
    <row r="306" customFormat="false" ht="15" hidden="false" customHeight="false" outlineLevel="0" collapsed="false">
      <c r="A306" s="29" t="s">
        <v>854</v>
      </c>
      <c r="B306" s="60" t="s">
        <v>855</v>
      </c>
      <c r="C306" s="63" t="n">
        <f aca="false">P306</f>
        <v>0.597110754414125</v>
      </c>
      <c r="D306" s="63" t="n">
        <f aca="false">AB306</f>
        <v>1</v>
      </c>
      <c r="E306" s="64" t="n">
        <f aca="false">IF(E305&lt;=0,0,MIN(1,E304/E305))</f>
        <v>0</v>
      </c>
      <c r="F306" s="64" t="n">
        <f aca="false">IF(F305&lt;=0,0,MIN(1,F304/F305))</f>
        <v>0</v>
      </c>
      <c r="G306" s="64" t="n">
        <f aca="false">IF(G305&lt;=0,0,MIN(1,G304/G305))</f>
        <v>0</v>
      </c>
      <c r="H306" s="64" t="n">
        <f aca="false">IF(H305&lt;=0,0,MIN(1,H304/H305))</f>
        <v>0</v>
      </c>
      <c r="I306" s="64" t="n">
        <f aca="false">IF(I305&lt;=0,0,MIN(1,I304/I305))</f>
        <v>0</v>
      </c>
      <c r="J306" s="64" t="n">
        <f aca="false">IF(J305&lt;=0,0,MIN(1,J304/J305))</f>
        <v>0</v>
      </c>
      <c r="K306" s="64" t="n">
        <f aca="false">IF(K305&lt;=0,0,MIN(1,K304/K305))</f>
        <v>0</v>
      </c>
      <c r="L306" s="64" t="n">
        <f aca="false">IF(L305&lt;=0,0,MIN(1,L304/L305))</f>
        <v>0</v>
      </c>
      <c r="M306" s="64" t="n">
        <f aca="false">IF(M305&lt;=0,0,MIN(1,M304/M305))</f>
        <v>0.153290529695024</v>
      </c>
      <c r="N306" s="64" t="n">
        <f aca="false">IF(N305&lt;=0,0,MIN(1,N304/N305))</f>
        <v>0.300963081861958</v>
      </c>
      <c r="O306" s="64" t="n">
        <f aca="false">IF(O305&lt;=0,0,MIN(1,O304/O305))</f>
        <v>0.447030497592295</v>
      </c>
      <c r="P306" s="64" t="n">
        <f aca="false">IF(P305&lt;=0,0,MIN(1,P304/P305))</f>
        <v>0.597110754414125</v>
      </c>
      <c r="Q306" s="64" t="n">
        <f aca="false">IF(Q305&lt;=0,0,MIN(1,Q304/Q305))</f>
        <v>0.725521669341894</v>
      </c>
      <c r="R306" s="64" t="n">
        <f aca="false">IF(R305&lt;=0,0,MIN(1,R304/R305))</f>
        <v>0.857945425361156</v>
      </c>
      <c r="S306" s="64" t="n">
        <f aca="false">IF(S305&lt;=0,0,MIN(1,S304/S305))</f>
        <v>1</v>
      </c>
      <c r="T306" s="64" t="n">
        <f aca="false">IF(T305&lt;=0,0,MIN(1,T304/T305))</f>
        <v>1</v>
      </c>
      <c r="U306" s="64" t="n">
        <f aca="false">IF(U305&lt;=0,0,MIN(1,U304/U305))</f>
        <v>1</v>
      </c>
      <c r="V306" s="64" t="n">
        <f aca="false">IF(V305&lt;=0,0,MIN(1,V304/V305))</f>
        <v>1</v>
      </c>
      <c r="W306" s="64" t="n">
        <f aca="false">IF(W305&lt;=0,0,MIN(1,W304/W305))</f>
        <v>1</v>
      </c>
      <c r="X306" s="64" t="n">
        <f aca="false">IF(X305&lt;=0,0,MIN(1,X304/X305))</f>
        <v>1</v>
      </c>
      <c r="Y306" s="64" t="n">
        <f aca="false">IF(Y305&lt;=0,0,MIN(1,Y304/Y305))</f>
        <v>1</v>
      </c>
      <c r="Z306" s="64" t="n">
        <f aca="false">IF(Z305&lt;=0,0,MIN(1,Z304/Z305))</f>
        <v>1</v>
      </c>
      <c r="AA306" s="64" t="n">
        <f aca="false">IF(AA305&lt;=0,0,MIN(1,AA304/AA305))</f>
        <v>1</v>
      </c>
      <c r="AB306" s="64" t="n">
        <f aca="false">IF(AB305&lt;=0,0,MIN(1,AB304/AB305))</f>
        <v>1</v>
      </c>
    </row>
    <row r="307" customFormat="false" ht="15" hidden="false" customHeight="false" outlineLevel="0" collapsed="false">
      <c r="A307" s="29" t="s">
        <v>833</v>
      </c>
      <c r="B307" s="60" t="s">
        <v>834</v>
      </c>
      <c r="C307" s="61" t="n">
        <f aca="false">SUM(E307:P307)</f>
        <v>258980.966292135</v>
      </c>
      <c r="D307" s="61" t="n">
        <f aca="false">SUM(Q307:AB307)</f>
        <v>181732.23505618</v>
      </c>
      <c r="E307" s="62" t="n">
        <f aca="false">E26*Engagement_Register!$AD$24*Assumptions!E$194</f>
        <v>0</v>
      </c>
      <c r="F307" s="62" t="n">
        <f aca="false">F26*Engagement_Register!$AD$24*Assumptions!F$194</f>
        <v>0</v>
      </c>
      <c r="G307" s="62" t="n">
        <f aca="false">G26*Engagement_Register!$AD$24*Assumptions!G$194</f>
        <v>0</v>
      </c>
      <c r="H307" s="62" t="n">
        <f aca="false">H26*Engagement_Register!$AD$24*Assumptions!H$194</f>
        <v>0</v>
      </c>
      <c r="I307" s="62" t="n">
        <f aca="false">I26*Engagement_Register!$AD$24*Assumptions!I$194</f>
        <v>0</v>
      </c>
      <c r="J307" s="62" t="n">
        <f aca="false">J26*Engagement_Register!$AD$24*Assumptions!J$194</f>
        <v>0</v>
      </c>
      <c r="K307" s="62" t="n">
        <f aca="false">K26*Engagement_Register!$AD$24*Assumptions!K$194</f>
        <v>0</v>
      </c>
      <c r="L307" s="62" t="n">
        <f aca="false">L26*Engagement_Register!$AD$24*Assumptions!L$194</f>
        <v>0</v>
      </c>
      <c r="M307" s="62" t="n">
        <f aca="false">M26*Engagement_Register!$AD$24*Assumptions!M$194</f>
        <v>66485.7050561798</v>
      </c>
      <c r="N307" s="62" t="n">
        <f aca="false">N26*Engagement_Register!$AD$24*Assumptions!N$194</f>
        <v>64049.0561797753</v>
      </c>
      <c r="O307" s="62" t="n">
        <f aca="false">O26*Engagement_Register!$AD$24*Assumptions!O$194</f>
        <v>63352.8707865169</v>
      </c>
      <c r="P307" s="62" t="n">
        <f aca="false">P26*Engagement_Register!$AD$24*Assumptions!P$194</f>
        <v>65093.3342696629</v>
      </c>
      <c r="Q307" s="62" t="n">
        <f aca="false">Q26*Engagement_Register!$AD$24*Assumptions!Q$194</f>
        <v>57922.6247191011</v>
      </c>
      <c r="R307" s="62" t="n">
        <f aca="false">R26*Engagement_Register!$AD$24*Assumptions!R$194</f>
        <v>59732.7067415731</v>
      </c>
      <c r="S307" s="62" t="n">
        <f aca="false">S26*Engagement_Register!$AD$24*Assumptions!S$194</f>
        <v>64076.9035955056</v>
      </c>
      <c r="T307" s="62" t="n">
        <f aca="false">T26*Engagement_Register!$AD$24*Assumptions!T$194</f>
        <v>0</v>
      </c>
      <c r="U307" s="62" t="n">
        <f aca="false">U26*Engagement_Register!$AD$24*Assumptions!U$194</f>
        <v>0</v>
      </c>
      <c r="V307" s="62" t="n">
        <f aca="false">V26*Engagement_Register!$AD$24*Assumptions!V$194</f>
        <v>0</v>
      </c>
      <c r="W307" s="62" t="n">
        <f aca="false">W26*Engagement_Register!$AD$24*Assumptions!W$194</f>
        <v>0</v>
      </c>
      <c r="X307" s="62" t="n">
        <f aca="false">X26*Engagement_Register!$AD$24*Assumptions!X$194</f>
        <v>0</v>
      </c>
      <c r="Y307" s="62" t="n">
        <f aca="false">Y26*Engagement_Register!$AD$24*Assumptions!Y$194</f>
        <v>0</v>
      </c>
      <c r="Z307" s="62" t="n">
        <f aca="false">Z26*Engagement_Register!$AD$24*Assumptions!Z$194</f>
        <v>0</v>
      </c>
      <c r="AA307" s="62" t="n">
        <f aca="false">AA26*Engagement_Register!$AD$24*Assumptions!AA$194</f>
        <v>0</v>
      </c>
      <c r="AB307" s="62" t="n">
        <f aca="false">AB26*Engagement_Register!$AD$24*Assumptions!AB$194</f>
        <v>0</v>
      </c>
    </row>
    <row r="308" customFormat="false" ht="15" hidden="false" customHeight="false" outlineLevel="0" collapsed="false">
      <c r="A308" s="29" t="s">
        <v>835</v>
      </c>
      <c r="B308" s="60" t="s">
        <v>836</v>
      </c>
      <c r="C308" s="61" t="n">
        <f aca="false">SUM(E308:P308)</f>
        <v>243442.108314607</v>
      </c>
      <c r="D308" s="61" t="n">
        <f aca="false">SUM(Q308:AB308)</f>
        <v>170828.300952809</v>
      </c>
      <c r="E308" s="62" t="n">
        <f aca="false">E26*Engagement_Register!$AE$24*Assumptions!E$194</f>
        <v>0</v>
      </c>
      <c r="F308" s="62" t="n">
        <f aca="false">F26*Engagement_Register!$AE$24*Assumptions!F$194</f>
        <v>0</v>
      </c>
      <c r="G308" s="62" t="n">
        <f aca="false">G26*Engagement_Register!$AE$24*Assumptions!G$194</f>
        <v>0</v>
      </c>
      <c r="H308" s="62" t="n">
        <f aca="false">H26*Engagement_Register!$AE$24*Assumptions!H$194</f>
        <v>0</v>
      </c>
      <c r="I308" s="62" t="n">
        <f aca="false">I26*Engagement_Register!$AE$24*Assumptions!I$194</f>
        <v>0</v>
      </c>
      <c r="J308" s="62" t="n">
        <f aca="false">J26*Engagement_Register!$AE$24*Assumptions!J$194</f>
        <v>0</v>
      </c>
      <c r="K308" s="62" t="n">
        <f aca="false">K26*Engagement_Register!$AE$24*Assumptions!K$194</f>
        <v>0</v>
      </c>
      <c r="L308" s="62" t="n">
        <f aca="false">L26*Engagement_Register!$AE$24*Assumptions!L$194</f>
        <v>0</v>
      </c>
      <c r="M308" s="62" t="n">
        <f aca="false">M26*Engagement_Register!$AE$24*Assumptions!M$194</f>
        <v>62496.562752809</v>
      </c>
      <c r="N308" s="62" t="n">
        <f aca="false">N26*Engagement_Register!$AE$24*Assumptions!N$194</f>
        <v>60206.1128089888</v>
      </c>
      <c r="O308" s="62" t="n">
        <f aca="false">O26*Engagement_Register!$AE$24*Assumptions!O$194</f>
        <v>59551.6985393258</v>
      </c>
      <c r="P308" s="62" t="n">
        <f aca="false">P26*Engagement_Register!$AE$24*Assumptions!P$194</f>
        <v>61187.7342134832</v>
      </c>
      <c r="Q308" s="62" t="n">
        <f aca="false">Q26*Engagement_Register!$AE$24*Assumptions!Q$194</f>
        <v>54447.2672359551</v>
      </c>
      <c r="R308" s="62" t="n">
        <f aca="false">R26*Engagement_Register!$AE$24*Assumptions!R$194</f>
        <v>56148.7443370787</v>
      </c>
      <c r="S308" s="62" t="n">
        <f aca="false">S26*Engagement_Register!$AE$24*Assumptions!S$194</f>
        <v>60232.2893797753</v>
      </c>
      <c r="T308" s="62" t="n">
        <f aca="false">T26*Engagement_Register!$AE$24*Assumptions!T$194</f>
        <v>0</v>
      </c>
      <c r="U308" s="62" t="n">
        <f aca="false">U26*Engagement_Register!$AE$24*Assumptions!U$194</f>
        <v>0</v>
      </c>
      <c r="V308" s="62" t="n">
        <f aca="false">V26*Engagement_Register!$AE$24*Assumptions!V$194</f>
        <v>0</v>
      </c>
      <c r="W308" s="62" t="n">
        <f aca="false">W26*Engagement_Register!$AE$24*Assumptions!W$194</f>
        <v>0</v>
      </c>
      <c r="X308" s="62" t="n">
        <f aca="false">X26*Engagement_Register!$AE$24*Assumptions!X$194</f>
        <v>0</v>
      </c>
      <c r="Y308" s="62" t="n">
        <f aca="false">Y26*Engagement_Register!$AE$24*Assumptions!Y$194</f>
        <v>0</v>
      </c>
      <c r="Z308" s="62" t="n">
        <f aca="false">Z26*Engagement_Register!$AE$24*Assumptions!Z$194</f>
        <v>0</v>
      </c>
      <c r="AA308" s="62" t="n">
        <f aca="false">AA26*Engagement_Register!$AE$24*Assumptions!AA$194</f>
        <v>0</v>
      </c>
      <c r="AB308" s="62" t="n">
        <f aca="false">AB26*Engagement_Register!$AE$24*Assumptions!AB$194</f>
        <v>0</v>
      </c>
    </row>
    <row r="309" customFormat="false" ht="15" hidden="false" customHeight="false" outlineLevel="0" collapsed="false">
      <c r="A309" s="29" t="s">
        <v>856</v>
      </c>
      <c r="B309" s="60" t="s">
        <v>857</v>
      </c>
      <c r="C309" s="61" t="n">
        <f aca="false">P309</f>
        <v>243442.108314607</v>
      </c>
      <c r="D309" s="61" t="n">
        <f aca="false">AB309</f>
        <v>414270.409267416</v>
      </c>
      <c r="E309" s="62" t="n">
        <f aca="false">Engagement_Register!$W$24+E308</f>
        <v>0</v>
      </c>
      <c r="F309" s="71" t="n">
        <f aca="false">E309+F308</f>
        <v>0</v>
      </c>
      <c r="G309" s="71" t="n">
        <f aca="false">F309+G308</f>
        <v>0</v>
      </c>
      <c r="H309" s="71" t="n">
        <f aca="false">G309+H308</f>
        <v>0</v>
      </c>
      <c r="I309" s="71" t="n">
        <f aca="false">H309+I308</f>
        <v>0</v>
      </c>
      <c r="J309" s="71" t="n">
        <f aca="false">I309+J308</f>
        <v>0</v>
      </c>
      <c r="K309" s="71" t="n">
        <f aca="false">J309+K308</f>
        <v>0</v>
      </c>
      <c r="L309" s="71" t="n">
        <f aca="false">K309+L308</f>
        <v>0</v>
      </c>
      <c r="M309" s="71" t="n">
        <f aca="false">L309+M308</f>
        <v>62496.562752809</v>
      </c>
      <c r="N309" s="71" t="n">
        <f aca="false">M309+N308</f>
        <v>122702.675561798</v>
      </c>
      <c r="O309" s="71" t="n">
        <f aca="false">N309+O308</f>
        <v>182254.374101124</v>
      </c>
      <c r="P309" s="71" t="n">
        <f aca="false">O309+P308</f>
        <v>243442.108314607</v>
      </c>
      <c r="Q309" s="71" t="n">
        <f aca="false">P309+Q308</f>
        <v>297889.375550562</v>
      </c>
      <c r="R309" s="71" t="n">
        <f aca="false">Q309+R308</f>
        <v>354038.11988764</v>
      </c>
      <c r="S309" s="71" t="n">
        <f aca="false">R309+S308</f>
        <v>414270.409267416</v>
      </c>
      <c r="T309" s="71" t="n">
        <f aca="false">S309+T308</f>
        <v>414270.409267416</v>
      </c>
      <c r="U309" s="71" t="n">
        <f aca="false">T309+U308</f>
        <v>414270.409267416</v>
      </c>
      <c r="V309" s="71" t="n">
        <f aca="false">U309+V308</f>
        <v>414270.409267416</v>
      </c>
      <c r="W309" s="71" t="n">
        <f aca="false">V309+W308</f>
        <v>414270.409267416</v>
      </c>
      <c r="X309" s="71" t="n">
        <f aca="false">W309+X308</f>
        <v>414270.409267416</v>
      </c>
      <c r="Y309" s="71" t="n">
        <f aca="false">X309+Y308</f>
        <v>414270.409267416</v>
      </c>
      <c r="Z309" s="71" t="n">
        <f aca="false">Y309+Z308</f>
        <v>414270.409267416</v>
      </c>
      <c r="AA309" s="71" t="n">
        <f aca="false">Z309+AA308</f>
        <v>414270.409267416</v>
      </c>
      <c r="AB309" s="71" t="n">
        <f aca="false">AA309+AB308</f>
        <v>414270.409267416</v>
      </c>
    </row>
    <row r="310" customFormat="false" ht="15" hidden="false" customHeight="false" outlineLevel="0" collapsed="false">
      <c r="A310" s="29" t="s">
        <v>742</v>
      </c>
      <c r="B310" s="60" t="s">
        <v>858</v>
      </c>
      <c r="C310" s="61" t="n">
        <f aca="false">P310</f>
        <v>238844.30176565</v>
      </c>
      <c r="D310" s="61" t="n">
        <f aca="false">AB310</f>
        <v>400000</v>
      </c>
      <c r="E310" s="62" t="n">
        <f aca="false">IF(E$5="A",Engagement_Register!$U$24+0,IF(Engagement_Register!$AQ$24&gt;Engagement_Register!$AP$24,Engagement_Register!$AP$24*E306,E309))</f>
        <v>0</v>
      </c>
      <c r="F310" s="62" t="n">
        <f aca="false">IF(F$5="A",E310+0,IF(Engagement_Register!$AQ$24&gt;Engagement_Register!$AP$24,Engagement_Register!$AP$24*F306,F309))</f>
        <v>0</v>
      </c>
      <c r="G310" s="62" t="n">
        <f aca="false">IF(G$5="A",F310+0,IF(Engagement_Register!$AQ$24&gt;Engagement_Register!$AP$24,Engagement_Register!$AP$24*G306,G309))</f>
        <v>0</v>
      </c>
      <c r="H310" s="62" t="n">
        <f aca="false">IF(H$5="A",G310+0,IF(Engagement_Register!$AQ$24&gt;Engagement_Register!$AP$24,Engagement_Register!$AP$24*H306,H309))</f>
        <v>0</v>
      </c>
      <c r="I310" s="62" t="n">
        <f aca="false">IF(I$5="A",H310+0,IF(Engagement_Register!$AQ$24&gt;Engagement_Register!$AP$24,Engagement_Register!$AP$24*I306,I309))</f>
        <v>0</v>
      </c>
      <c r="J310" s="62" t="n">
        <f aca="false">IF(J$5="A",I310+0,IF(Engagement_Register!$AQ$24&gt;Engagement_Register!$AP$24,Engagement_Register!$AP$24*J306,J309))</f>
        <v>0</v>
      </c>
      <c r="K310" s="62" t="n">
        <f aca="false">IF(K$5="A",J310+0,IF(Engagement_Register!$AQ$24&gt;Engagement_Register!$AP$24,Engagement_Register!$AP$24*K306,K309))</f>
        <v>0</v>
      </c>
      <c r="L310" s="62" t="n">
        <f aca="false">IF(L$5="A",K310+0,IF(Engagement_Register!$AQ$24&gt;Engagement_Register!$AP$24,Engagement_Register!$AP$24*L306,L309))</f>
        <v>0</v>
      </c>
      <c r="M310" s="62" t="n">
        <f aca="false">IF(M$5="A",L310+0,IF(Engagement_Register!$AQ$24&gt;Engagement_Register!$AP$24,Engagement_Register!$AP$24*M306,M309))</f>
        <v>61316.2118780096</v>
      </c>
      <c r="N310" s="62" t="n">
        <f aca="false">IF(N$5="A",M310+0,IF(Engagement_Register!$AQ$24&gt;Engagement_Register!$AP$24,Engagement_Register!$AP$24*N306,N309))</f>
        <v>120385.232744783</v>
      </c>
      <c r="O310" s="62" t="n">
        <f aca="false">IF(O$5="A",N310+0,IF(Engagement_Register!$AQ$24&gt;Engagement_Register!$AP$24,Engagement_Register!$AP$24*O306,O309))</f>
        <v>178812.199036918</v>
      </c>
      <c r="P310" s="62" t="n">
        <f aca="false">IF(P$5="A",O310+0,IF(Engagement_Register!$AQ$24&gt;Engagement_Register!$AP$24,Engagement_Register!$AP$24*P306,P309))</f>
        <v>238844.30176565</v>
      </c>
      <c r="Q310" s="62" t="n">
        <f aca="false">IF(Q$5="A",P310+0,IF(Engagement_Register!$AQ$24&gt;Engagement_Register!$AP$24,Engagement_Register!$AP$24*Q306,Q309))</f>
        <v>290208.667736758</v>
      </c>
      <c r="R310" s="62" t="n">
        <f aca="false">IF(R$5="A",Q310+0,IF(Engagement_Register!$AQ$24&gt;Engagement_Register!$AP$24,Engagement_Register!$AP$24*R306,R309))</f>
        <v>343178.170144462</v>
      </c>
      <c r="S310" s="62" t="n">
        <f aca="false">IF(S$5="A",R310+0,IF(Engagement_Register!$AQ$24&gt;Engagement_Register!$AP$24,Engagement_Register!$AP$24*S306,S309))</f>
        <v>400000</v>
      </c>
      <c r="T310" s="62" t="n">
        <f aca="false">IF(T$5="A",S310+0,IF(Engagement_Register!$AQ$24&gt;Engagement_Register!$AP$24,Engagement_Register!$AP$24*T306,T309))</f>
        <v>400000</v>
      </c>
      <c r="U310" s="62" t="n">
        <f aca="false">IF(U$5="A",T310+0,IF(Engagement_Register!$AQ$24&gt;Engagement_Register!$AP$24,Engagement_Register!$AP$24*U306,U309))</f>
        <v>400000</v>
      </c>
      <c r="V310" s="62" t="n">
        <f aca="false">IF(V$5="A",U310+0,IF(Engagement_Register!$AQ$24&gt;Engagement_Register!$AP$24,Engagement_Register!$AP$24*V306,V309))</f>
        <v>400000</v>
      </c>
      <c r="W310" s="62" t="n">
        <f aca="false">IF(W$5="A",V310+0,IF(Engagement_Register!$AQ$24&gt;Engagement_Register!$AP$24,Engagement_Register!$AP$24*W306,W309))</f>
        <v>400000</v>
      </c>
      <c r="X310" s="62" t="n">
        <f aca="false">IF(X$5="A",W310+0,IF(Engagement_Register!$AQ$24&gt;Engagement_Register!$AP$24,Engagement_Register!$AP$24*X306,X309))</f>
        <v>400000</v>
      </c>
      <c r="Y310" s="62" t="n">
        <f aca="false">IF(Y$5="A",X310+0,IF(Engagement_Register!$AQ$24&gt;Engagement_Register!$AP$24,Engagement_Register!$AP$24*Y306,Y309))</f>
        <v>400000</v>
      </c>
      <c r="Z310" s="62" t="n">
        <f aca="false">IF(Z$5="A",Y310+0,IF(Engagement_Register!$AQ$24&gt;Engagement_Register!$AP$24,Engagement_Register!$AP$24*Z306,Z309))</f>
        <v>400000</v>
      </c>
      <c r="AA310" s="62" t="n">
        <f aca="false">IF(AA$5="A",Z310+0,IF(Engagement_Register!$AQ$24&gt;Engagement_Register!$AP$24,Engagement_Register!$AP$24*AA306,AA309))</f>
        <v>400000</v>
      </c>
      <c r="AB310" s="62" t="n">
        <f aca="false">IF(AB$5="A",AA310+0,IF(Engagement_Register!$AQ$24&gt;Engagement_Register!$AP$24,Engagement_Register!$AP$24*AB306,AB309))</f>
        <v>400000</v>
      </c>
    </row>
    <row r="311" customFormat="false" ht="15" hidden="false" customHeight="false" outlineLevel="0" collapsed="false">
      <c r="A311" s="68" t="s">
        <v>349</v>
      </c>
      <c r="B311" s="69" t="s">
        <v>859</v>
      </c>
      <c r="C311" s="70" t="n">
        <f aca="false">SUM(E311:P311)</f>
        <v>238844.30176565</v>
      </c>
      <c r="D311" s="70" t="n">
        <f aca="false">SUM(Q311:AB311)</f>
        <v>161155.69823435</v>
      </c>
      <c r="E311" s="74" t="n">
        <f aca="false">E310-Engagement_Register!$U$24</f>
        <v>0</v>
      </c>
      <c r="F311" s="70" t="n">
        <f aca="false">F310-E310</f>
        <v>0</v>
      </c>
      <c r="G311" s="70" t="n">
        <f aca="false">G310-F310</f>
        <v>0</v>
      </c>
      <c r="H311" s="70" t="n">
        <f aca="false">H310-G310</f>
        <v>0</v>
      </c>
      <c r="I311" s="70" t="n">
        <f aca="false">I310-H310</f>
        <v>0</v>
      </c>
      <c r="J311" s="70" t="n">
        <f aca="false">J310-I310</f>
        <v>0</v>
      </c>
      <c r="K311" s="70" t="n">
        <f aca="false">K310-J310</f>
        <v>0</v>
      </c>
      <c r="L311" s="70" t="n">
        <f aca="false">L310-K310</f>
        <v>0</v>
      </c>
      <c r="M311" s="70" t="n">
        <f aca="false">M310-L310</f>
        <v>61316.2118780096</v>
      </c>
      <c r="N311" s="70" t="n">
        <f aca="false">N310-M310</f>
        <v>59069.0208667737</v>
      </c>
      <c r="O311" s="70" t="n">
        <f aca="false">O310-N310</f>
        <v>58426.9662921349</v>
      </c>
      <c r="P311" s="70" t="n">
        <f aca="false">P310-O310</f>
        <v>60032.102728732</v>
      </c>
      <c r="Q311" s="70" t="n">
        <f aca="false">Q310-P310</f>
        <v>51364.3659711075</v>
      </c>
      <c r="R311" s="70" t="n">
        <f aca="false">R310-Q310</f>
        <v>52969.5024077047</v>
      </c>
      <c r="S311" s="70" t="n">
        <f aca="false">S310-R310</f>
        <v>56821.8298555377</v>
      </c>
      <c r="T311" s="70" t="n">
        <f aca="false">T310-S310</f>
        <v>0</v>
      </c>
      <c r="U311" s="70" t="n">
        <f aca="false">U310-T310</f>
        <v>0</v>
      </c>
      <c r="V311" s="70" t="n">
        <f aca="false">V310-U310</f>
        <v>0</v>
      </c>
      <c r="W311" s="70" t="n">
        <f aca="false">W310-V310</f>
        <v>0</v>
      </c>
      <c r="X311" s="70" t="n">
        <f aca="false">X310-W310</f>
        <v>0</v>
      </c>
      <c r="Y311" s="70" t="n">
        <f aca="false">Y310-X310</f>
        <v>0</v>
      </c>
      <c r="Z311" s="70" t="n">
        <f aca="false">Z310-Y310</f>
        <v>0</v>
      </c>
      <c r="AA311" s="70" t="n">
        <f aca="false">AA310-Z310</f>
        <v>0</v>
      </c>
      <c r="AB311" s="70" t="n">
        <f aca="false">AB310-AA310</f>
        <v>0</v>
      </c>
    </row>
    <row r="312" customFormat="false" ht="15" hidden="false" customHeight="false" outlineLevel="0" collapsed="false">
      <c r="A312" s="29" t="s">
        <v>838</v>
      </c>
      <c r="B312" s="60" t="s">
        <v>860</v>
      </c>
      <c r="C312" s="61" t="n">
        <f aca="false">SUM(E312:P312)</f>
        <v>182254.374101124</v>
      </c>
      <c r="D312" s="61" t="n">
        <f aca="false">SUM(Q312:AB312)</f>
        <v>217745.625898876</v>
      </c>
      <c r="E312" s="62" t="n">
        <f aca="false">IF(E$5="A",0,MAX(0,MIN(0,Engagement_Register!$AP$24-Engagement_Register!$V$24)))</f>
        <v>0</v>
      </c>
      <c r="F312" s="62" t="n">
        <f aca="false">IF(F$5="A",0,MAX(0,MIN(E308,Engagement_Register!$AP$24-E313)))</f>
        <v>0</v>
      </c>
      <c r="G312" s="62" t="n">
        <f aca="false">IF(G$5="A",0,MAX(0,MIN(F308,Engagement_Register!$AP$24-F313)))</f>
        <v>0</v>
      </c>
      <c r="H312" s="62" t="n">
        <f aca="false">IF(H$5="A",0,MAX(0,MIN(G308,Engagement_Register!$AP$24-G313)))</f>
        <v>0</v>
      </c>
      <c r="I312" s="62" t="n">
        <f aca="false">IF(I$5="A",0,MAX(0,MIN(H308,Engagement_Register!$AP$24-H313)))</f>
        <v>0</v>
      </c>
      <c r="J312" s="62" t="n">
        <f aca="false">IF(J$5="A",0,MAX(0,MIN(I308,Engagement_Register!$AP$24-I313)))</f>
        <v>0</v>
      </c>
      <c r="K312" s="62" t="n">
        <f aca="false">IF(K$5="A",0,MAX(0,MIN(J308,Engagement_Register!$AP$24-J313)))</f>
        <v>0</v>
      </c>
      <c r="L312" s="62" t="n">
        <f aca="false">IF(L$5="A",0,MAX(0,MIN(K308,Engagement_Register!$AP$24-K313)))</f>
        <v>0</v>
      </c>
      <c r="M312" s="62" t="n">
        <f aca="false">IF(M$5="A",0,MAX(0,MIN(L308,Engagement_Register!$AP$24-L313)))</f>
        <v>0</v>
      </c>
      <c r="N312" s="62" t="n">
        <f aca="false">IF(N$5="A",0,MAX(0,MIN(M308,Engagement_Register!$AP$24-M313)))</f>
        <v>62496.562752809</v>
      </c>
      <c r="O312" s="62" t="n">
        <f aca="false">IF(O$5="A",0,MAX(0,MIN(N308,Engagement_Register!$AP$24-N313)))</f>
        <v>60206.1128089888</v>
      </c>
      <c r="P312" s="62" t="n">
        <f aca="false">IF(P$5="A",0,MAX(0,MIN(O308,Engagement_Register!$AP$24-O313)))</f>
        <v>59551.6985393258</v>
      </c>
      <c r="Q312" s="62" t="n">
        <f aca="false">IF(Q$5="A",0,MAX(0,MIN(P308,Engagement_Register!$AP$24-P313)))</f>
        <v>61187.7342134832</v>
      </c>
      <c r="R312" s="62" t="n">
        <f aca="false">IF(R$5="A",0,MAX(0,MIN(Q308,Engagement_Register!$AP$24-Q313)))</f>
        <v>54447.2672359551</v>
      </c>
      <c r="S312" s="62" t="n">
        <f aca="false">IF(S$5="A",0,MAX(0,MIN(R308,Engagement_Register!$AP$24-R313)))</f>
        <v>56148.7443370787</v>
      </c>
      <c r="T312" s="62" t="n">
        <f aca="false">IF(T$5="A",0,MAX(0,MIN(S308,Engagement_Register!$AP$24-S313)))</f>
        <v>45961.8801123595</v>
      </c>
      <c r="U312" s="62" t="n">
        <f aca="false">IF(U$5="A",0,MAX(0,MIN(T308,Engagement_Register!$AP$24-T313)))</f>
        <v>0</v>
      </c>
      <c r="V312" s="62" t="n">
        <f aca="false">IF(V$5="A",0,MAX(0,MIN(U308,Engagement_Register!$AP$24-U313)))</f>
        <v>0</v>
      </c>
      <c r="W312" s="62" t="n">
        <f aca="false">IF(W$5="A",0,MAX(0,MIN(V308,Engagement_Register!$AP$24-V313)))</f>
        <v>0</v>
      </c>
      <c r="X312" s="62" t="n">
        <f aca="false">IF(X$5="A",0,MAX(0,MIN(W308,Engagement_Register!$AP$24-W313)))</f>
        <v>0</v>
      </c>
      <c r="Y312" s="62" t="n">
        <f aca="false">IF(Y$5="A",0,MAX(0,MIN(X308,Engagement_Register!$AP$24-X313)))</f>
        <v>0</v>
      </c>
      <c r="Z312" s="62" t="n">
        <f aca="false">IF(Z$5="A",0,MAX(0,MIN(Y308,Engagement_Register!$AP$24-Y313)))</f>
        <v>0</v>
      </c>
      <c r="AA312" s="62" t="n">
        <f aca="false">IF(AA$5="A",0,MAX(0,MIN(Z308,Engagement_Register!$AP$24-Z313)))</f>
        <v>0</v>
      </c>
      <c r="AB312" s="62" t="n">
        <f aca="false">IF(AB$5="A",0,MAX(0,MIN(AA308,Engagement_Register!$AP$24-AA313)))</f>
        <v>0</v>
      </c>
    </row>
    <row r="313" customFormat="false" ht="15" hidden="false" customHeight="false" outlineLevel="0" collapsed="false">
      <c r="A313" s="29" t="s">
        <v>840</v>
      </c>
      <c r="B313" s="60"/>
      <c r="C313" s="61" t="n">
        <f aca="false">P313</f>
        <v>182254.374101124</v>
      </c>
      <c r="D313" s="61" t="n">
        <f aca="false">AB313</f>
        <v>400000</v>
      </c>
      <c r="E313" s="62" t="n">
        <f aca="false">Engagement_Register!$V$24+E312</f>
        <v>0</v>
      </c>
      <c r="F313" s="71" t="n">
        <f aca="false">E313+F312</f>
        <v>0</v>
      </c>
      <c r="G313" s="71" t="n">
        <f aca="false">F313+G312</f>
        <v>0</v>
      </c>
      <c r="H313" s="71" t="n">
        <f aca="false">G313+H312</f>
        <v>0</v>
      </c>
      <c r="I313" s="71" t="n">
        <f aca="false">H313+I312</f>
        <v>0</v>
      </c>
      <c r="J313" s="71" t="n">
        <f aca="false">I313+J312</f>
        <v>0</v>
      </c>
      <c r="K313" s="71" t="n">
        <f aca="false">J313+K312</f>
        <v>0</v>
      </c>
      <c r="L313" s="71" t="n">
        <f aca="false">K313+L312</f>
        <v>0</v>
      </c>
      <c r="M313" s="71" t="n">
        <f aca="false">L313+M312</f>
        <v>0</v>
      </c>
      <c r="N313" s="71" t="n">
        <f aca="false">M313+N312</f>
        <v>62496.562752809</v>
      </c>
      <c r="O313" s="71" t="n">
        <f aca="false">N313+O312</f>
        <v>122702.675561798</v>
      </c>
      <c r="P313" s="71" t="n">
        <f aca="false">O313+P312</f>
        <v>182254.374101124</v>
      </c>
      <c r="Q313" s="71" t="n">
        <f aca="false">P313+Q312</f>
        <v>243442.108314607</v>
      </c>
      <c r="R313" s="71" t="n">
        <f aca="false">Q313+R312</f>
        <v>297889.375550562</v>
      </c>
      <c r="S313" s="71" t="n">
        <f aca="false">R313+S312</f>
        <v>354038.11988764</v>
      </c>
      <c r="T313" s="71" t="n">
        <f aca="false">S313+T312</f>
        <v>400000</v>
      </c>
      <c r="U313" s="71" t="n">
        <f aca="false">T313+U312</f>
        <v>400000</v>
      </c>
      <c r="V313" s="71" t="n">
        <f aca="false">U313+V312</f>
        <v>400000</v>
      </c>
      <c r="W313" s="71" t="n">
        <f aca="false">V313+W312</f>
        <v>400000</v>
      </c>
      <c r="X313" s="71" t="n">
        <f aca="false">W313+X312</f>
        <v>400000</v>
      </c>
      <c r="Y313" s="71" t="n">
        <f aca="false">X313+Y312</f>
        <v>400000</v>
      </c>
      <c r="Z313" s="71" t="n">
        <f aca="false">Y313+Z312</f>
        <v>400000</v>
      </c>
      <c r="AA313" s="71" t="n">
        <f aca="false">Z313+AA312</f>
        <v>400000</v>
      </c>
      <c r="AB313" s="71" t="n">
        <f aca="false">AA313+AB312</f>
        <v>400000</v>
      </c>
    </row>
    <row r="314" customFormat="false" ht="15" hidden="false" customHeight="false" outlineLevel="0" collapsed="false">
      <c r="A314" s="29" t="s">
        <v>841</v>
      </c>
      <c r="B314" s="60" t="s">
        <v>842</v>
      </c>
      <c r="C314" s="61" t="n">
        <f aca="false">SUM(E314:P314)</f>
        <v>19749.4382022472</v>
      </c>
      <c r="D314" s="61" t="n">
        <f aca="false">SUM(Q314:AB314)</f>
        <v>13725.3286516854</v>
      </c>
      <c r="E314" s="62" t="n">
        <f aca="false">IF(E$5="A",0,E26*Engagement_Register!$N$24*Assumptions!E$195)</f>
        <v>0</v>
      </c>
      <c r="F314" s="62" t="n">
        <f aca="false">IF(F$5="A",0,F26*Engagement_Register!$N$24*Assumptions!F$195)</f>
        <v>0</v>
      </c>
      <c r="G314" s="62" t="n">
        <f aca="false">IF(G$5="A",0,G26*Engagement_Register!$N$24*Assumptions!G$195)</f>
        <v>0</v>
      </c>
      <c r="H314" s="62" t="n">
        <f aca="false">IF(H$5="A",0,H26*Engagement_Register!$N$24*Assumptions!H$195)</f>
        <v>0</v>
      </c>
      <c r="I314" s="62" t="n">
        <f aca="false">IF(I$5="A",0,I26*Engagement_Register!$N$24*Assumptions!I$195)</f>
        <v>0</v>
      </c>
      <c r="J314" s="62" t="n">
        <f aca="false">IF(J$5="A",0,J26*Engagement_Register!$N$24*Assumptions!J$195)</f>
        <v>0</v>
      </c>
      <c r="K314" s="62" t="n">
        <f aca="false">IF(K$5="A",0,K26*Engagement_Register!$N$24*Assumptions!K$195)</f>
        <v>0</v>
      </c>
      <c r="L314" s="62" t="n">
        <f aca="false">IF(L$5="A",0,L26*Engagement_Register!$N$24*Assumptions!L$195)</f>
        <v>0</v>
      </c>
      <c r="M314" s="62" t="n">
        <f aca="false">IF(M$5="A",0,M26*Engagement_Register!$N$24*Assumptions!M$195)</f>
        <v>5070.08426966292</v>
      </c>
      <c r="N314" s="62" t="n">
        <f aca="false">IF(N$5="A",0,N26*Engagement_Register!$N$24*Assumptions!N$195)</f>
        <v>4884.26966292135</v>
      </c>
      <c r="O314" s="62" t="n">
        <f aca="false">IF(O$5="A",0,O26*Engagement_Register!$N$24*Assumptions!O$195)</f>
        <v>4831.1797752809</v>
      </c>
      <c r="P314" s="62" t="n">
        <f aca="false">IF(P$5="A",0,P26*Engagement_Register!$N$24*Assumptions!P$195)</f>
        <v>4963.90449438202</v>
      </c>
      <c r="Q314" s="62" t="n">
        <f aca="false">IF(Q$5="A",0,Q26*Engagement_Register!$N$24*Assumptions!Q$195)</f>
        <v>4374.60674157303</v>
      </c>
      <c r="R314" s="62" t="n">
        <f aca="false">IF(R$5="A",0,R26*Engagement_Register!$N$24*Assumptions!R$195)</f>
        <v>4511.31320224719</v>
      </c>
      <c r="S314" s="62" t="n">
        <f aca="false">IF(S$5="A",0,S26*Engagement_Register!$N$24*Assumptions!S$195)</f>
        <v>4839.40870786517</v>
      </c>
      <c r="T314" s="62" t="n">
        <f aca="false">IF(T$5="A",0,T26*Engagement_Register!$N$24*Assumptions!T$195)</f>
        <v>0</v>
      </c>
      <c r="U314" s="62" t="n">
        <f aca="false">IF(U$5="A",0,U26*Engagement_Register!$N$24*Assumptions!U$195)</f>
        <v>0</v>
      </c>
      <c r="V314" s="62" t="n">
        <f aca="false">IF(V$5="A",0,V26*Engagement_Register!$N$24*Assumptions!V$195)</f>
        <v>0</v>
      </c>
      <c r="W314" s="62" t="n">
        <f aca="false">IF(W$5="A",0,W26*Engagement_Register!$N$24*Assumptions!W$195)</f>
        <v>0</v>
      </c>
      <c r="X314" s="62" t="n">
        <f aca="false">IF(X$5="A",0,X26*Engagement_Register!$N$24*Assumptions!X$195)</f>
        <v>0</v>
      </c>
      <c r="Y314" s="62" t="n">
        <f aca="false">IF(Y$5="A",0,Y26*Engagement_Register!$N$24*Assumptions!Y$195)</f>
        <v>0</v>
      </c>
      <c r="Z314" s="62" t="n">
        <f aca="false">IF(Z$5="A",0,Z26*Engagement_Register!$N$24*Assumptions!Z$195)</f>
        <v>0</v>
      </c>
      <c r="AA314" s="62" t="n">
        <f aca="false">IF(AA$5="A",0,AA26*Engagement_Register!$N$24*Assumptions!AA$195)</f>
        <v>0</v>
      </c>
      <c r="AB314" s="62" t="n">
        <f aca="false">IF(AB$5="A",0,AB26*Engagement_Register!$N$24*Assumptions!AB$195)</f>
        <v>0</v>
      </c>
    </row>
    <row r="315" customFormat="false" ht="15" hidden="false" customHeight="false" outlineLevel="0" collapsed="false">
      <c r="A315" s="29" t="s">
        <v>843</v>
      </c>
      <c r="B315" s="60" t="s">
        <v>844</v>
      </c>
      <c r="C315" s="61" t="n">
        <f aca="false">SUM(E315:P315)</f>
        <v>19749.4382022472</v>
      </c>
      <c r="D315" s="61" t="n">
        <f aca="false">SUM(Q315:AB315)</f>
        <v>13725.3286516854</v>
      </c>
      <c r="E315" s="71" t="n">
        <f aca="false">E314</f>
        <v>0</v>
      </c>
      <c r="F315" s="71" t="n">
        <f aca="false">F314</f>
        <v>0</v>
      </c>
      <c r="G315" s="71" t="n">
        <f aca="false">G314</f>
        <v>0</v>
      </c>
      <c r="H315" s="71" t="n">
        <f aca="false">H314</f>
        <v>0</v>
      </c>
      <c r="I315" s="71" t="n">
        <f aca="false">I314</f>
        <v>0</v>
      </c>
      <c r="J315" s="71" t="n">
        <f aca="false">J314</f>
        <v>0</v>
      </c>
      <c r="K315" s="71" t="n">
        <f aca="false">K314</f>
        <v>0</v>
      </c>
      <c r="L315" s="71" t="n">
        <f aca="false">L314</f>
        <v>0</v>
      </c>
      <c r="M315" s="71" t="n">
        <f aca="false">M314</f>
        <v>5070.08426966292</v>
      </c>
      <c r="N315" s="71" t="n">
        <f aca="false">N314</f>
        <v>4884.26966292135</v>
      </c>
      <c r="O315" s="71" t="n">
        <f aca="false">O314</f>
        <v>4831.1797752809</v>
      </c>
      <c r="P315" s="71" t="n">
        <f aca="false">P314</f>
        <v>4963.90449438202</v>
      </c>
      <c r="Q315" s="71" t="n">
        <f aca="false">Q314</f>
        <v>4374.60674157303</v>
      </c>
      <c r="R315" s="71" t="n">
        <f aca="false">R314</f>
        <v>4511.31320224719</v>
      </c>
      <c r="S315" s="71" t="n">
        <f aca="false">S314</f>
        <v>4839.40870786517</v>
      </c>
      <c r="T315" s="71" t="n">
        <f aca="false">T314</f>
        <v>0</v>
      </c>
      <c r="U315" s="71" t="n">
        <f aca="false">U314</f>
        <v>0</v>
      </c>
      <c r="V315" s="71" t="n">
        <f aca="false">V314</f>
        <v>0</v>
      </c>
      <c r="W315" s="71" t="n">
        <f aca="false">W314</f>
        <v>0</v>
      </c>
      <c r="X315" s="71" t="n">
        <f aca="false">X314</f>
        <v>0</v>
      </c>
      <c r="Y315" s="71" t="n">
        <f aca="false">Y314</f>
        <v>0</v>
      </c>
      <c r="Z315" s="71" t="n">
        <f aca="false">Z314</f>
        <v>0</v>
      </c>
      <c r="AA315" s="71" t="n">
        <f aca="false">AA314</f>
        <v>0</v>
      </c>
      <c r="AB315" s="71" t="n">
        <f aca="false">AB314</f>
        <v>0</v>
      </c>
    </row>
    <row r="316" customFormat="false" ht="15" hidden="false" customHeight="false" outlineLevel="0" collapsed="false">
      <c r="A316" s="29" t="s">
        <v>845</v>
      </c>
      <c r="B316" s="60" t="s">
        <v>846</v>
      </c>
      <c r="C316" s="61" t="n">
        <f aca="false">SUM(E316:P316)</f>
        <v>14785.5337078652</v>
      </c>
      <c r="D316" s="61" t="n">
        <f aca="false">SUM(Q316:AB316)</f>
        <v>18689.2331460674</v>
      </c>
      <c r="E316" s="71" t="n">
        <f aca="false">IF(E$5="A",0,0)</f>
        <v>0</v>
      </c>
      <c r="F316" s="71" t="n">
        <f aca="false">IF(F$5="A",0,E315)</f>
        <v>0</v>
      </c>
      <c r="G316" s="71" t="n">
        <f aca="false">IF(G$5="A",0,F315)</f>
        <v>0</v>
      </c>
      <c r="H316" s="71" t="n">
        <f aca="false">IF(H$5="A",0,G315)</f>
        <v>0</v>
      </c>
      <c r="I316" s="71" t="n">
        <f aca="false">IF(I$5="A",0,H315)</f>
        <v>0</v>
      </c>
      <c r="J316" s="71" t="n">
        <f aca="false">IF(J$5="A",0,I315)</f>
        <v>0</v>
      </c>
      <c r="K316" s="71" t="n">
        <f aca="false">IF(K$5="A",0,J315)</f>
        <v>0</v>
      </c>
      <c r="L316" s="71" t="n">
        <f aca="false">IF(L$5="A",0,K315)</f>
        <v>0</v>
      </c>
      <c r="M316" s="71" t="n">
        <f aca="false">IF(M$5="A",0,L315)</f>
        <v>0</v>
      </c>
      <c r="N316" s="71" t="n">
        <f aca="false">IF(N$5="A",0,M315)</f>
        <v>5070.08426966292</v>
      </c>
      <c r="O316" s="71" t="n">
        <f aca="false">IF(O$5="A",0,N315)</f>
        <v>4884.26966292135</v>
      </c>
      <c r="P316" s="71" t="n">
        <f aca="false">IF(P$5="A",0,O315)</f>
        <v>4831.1797752809</v>
      </c>
      <c r="Q316" s="71" t="n">
        <f aca="false">IF(Q$5="A",0,P315)</f>
        <v>4963.90449438202</v>
      </c>
      <c r="R316" s="71" t="n">
        <f aca="false">IF(R$5="A",0,Q315)</f>
        <v>4374.60674157303</v>
      </c>
      <c r="S316" s="71" t="n">
        <f aca="false">IF(S$5="A",0,R315)</f>
        <v>4511.31320224719</v>
      </c>
      <c r="T316" s="71" t="n">
        <f aca="false">IF(T$5="A",0,S315)</f>
        <v>4839.40870786517</v>
      </c>
      <c r="U316" s="71" t="n">
        <f aca="false">IF(U$5="A",0,T315)</f>
        <v>0</v>
      </c>
      <c r="V316" s="71" t="n">
        <f aca="false">IF(V$5="A",0,U315)</f>
        <v>0</v>
      </c>
      <c r="W316" s="71" t="n">
        <f aca="false">IF(W$5="A",0,V315)</f>
        <v>0</v>
      </c>
      <c r="X316" s="71" t="n">
        <f aca="false">IF(X$5="A",0,W315)</f>
        <v>0</v>
      </c>
      <c r="Y316" s="71" t="n">
        <f aca="false">IF(Y$5="A",0,X315)</f>
        <v>0</v>
      </c>
      <c r="Z316" s="71" t="n">
        <f aca="false">IF(Z$5="A",0,Y315)</f>
        <v>0</v>
      </c>
      <c r="AA316" s="71" t="n">
        <f aca="false">IF(AA$5="A",0,Z315)</f>
        <v>0</v>
      </c>
      <c r="AB316" s="71" t="n">
        <f aca="false">IF(AB$5="A",0,AA315)</f>
        <v>0</v>
      </c>
    </row>
    <row r="317" customFormat="false" ht="15" hidden="false" customHeight="false" outlineLevel="0" collapsed="false">
      <c r="A317" s="29" t="s">
        <v>847</v>
      </c>
      <c r="B317" s="60" t="s">
        <v>848</v>
      </c>
      <c r="C317" s="61" t="n">
        <f aca="false">P317</f>
        <v>61553.8321589085</v>
      </c>
      <c r="D317" s="61" t="n">
        <f aca="false">AB317</f>
        <v>0</v>
      </c>
      <c r="E317" s="62" t="n">
        <f aca="false">Engagement_Register!$X$24+E311+E315-E316-E312</f>
        <v>0</v>
      </c>
      <c r="F317" s="71" t="n">
        <f aca="false">E317+F311+F315-F316-F312</f>
        <v>0</v>
      </c>
      <c r="G317" s="71" t="n">
        <f aca="false">F317+G311+G315-G316-G312</f>
        <v>0</v>
      </c>
      <c r="H317" s="71" t="n">
        <f aca="false">G317+H311+H315-H316-H312</f>
        <v>0</v>
      </c>
      <c r="I317" s="71" t="n">
        <f aca="false">H317+I311+I315-I316-I312</f>
        <v>0</v>
      </c>
      <c r="J317" s="71" t="n">
        <f aca="false">I317+J311+J315-J316-J312</f>
        <v>0</v>
      </c>
      <c r="K317" s="71" t="n">
        <f aca="false">J317+K311+K315-K316-K312</f>
        <v>0</v>
      </c>
      <c r="L317" s="71" t="n">
        <f aca="false">K317+L311+L315-L316-L312</f>
        <v>0</v>
      </c>
      <c r="M317" s="71" t="n">
        <f aca="false">L317+M311+M315-M316-M312</f>
        <v>66386.2961476726</v>
      </c>
      <c r="N317" s="71" t="n">
        <f aca="false">M317+N311+N315-N316-N312</f>
        <v>62772.9396548957</v>
      </c>
      <c r="O317" s="71" t="n">
        <f aca="false">N317+O311+O315-O316-O312</f>
        <v>60940.7032504013</v>
      </c>
      <c r="P317" s="71" t="n">
        <f aca="false">O317+P311+P315-P316-P312</f>
        <v>61553.8321589085</v>
      </c>
      <c r="Q317" s="71" t="n">
        <f aca="false">P317+Q311+Q315-Q316-Q312</f>
        <v>51141.1661637239</v>
      </c>
      <c r="R317" s="71" t="n">
        <f aca="false">Q317+R311+R315-R316-R312</f>
        <v>49800.1077961477</v>
      </c>
      <c r="S317" s="71" t="n">
        <f aca="false">R317+S311+S315-S316-S312</f>
        <v>50801.2888202247</v>
      </c>
      <c r="T317" s="71" t="n">
        <f aca="false">S317+T311+T315-T316-T312</f>
        <v>0</v>
      </c>
      <c r="U317" s="71" t="n">
        <f aca="false">T317+U311+U315-U316-U312</f>
        <v>0</v>
      </c>
      <c r="V317" s="71" t="n">
        <f aca="false">U317+V311+V315-V316-V312</f>
        <v>0</v>
      </c>
      <c r="W317" s="71" t="n">
        <f aca="false">V317+W311+W315-W316-W312</f>
        <v>0</v>
      </c>
      <c r="X317" s="71" t="n">
        <f aca="false">W317+X311+X315-X316-X312</f>
        <v>0</v>
      </c>
      <c r="Y317" s="71" t="n">
        <f aca="false">X317+Y311+Y315-Y316-Y312</f>
        <v>0</v>
      </c>
      <c r="Z317" s="71" t="n">
        <f aca="false">Y317+Z311+Z315-Z316-Z312</f>
        <v>0</v>
      </c>
      <c r="AA317" s="71" t="n">
        <f aca="false">Z317+AA311+AA315-AA316-AA312</f>
        <v>0</v>
      </c>
      <c r="AB317" s="71" t="n">
        <f aca="false">AA317+AB311+AB315-AB316-AB312</f>
        <v>0</v>
      </c>
    </row>
    <row r="318" customFormat="false" ht="15" hidden="false" customHeight="false" outlineLevel="0" collapsed="false">
      <c r="A318" s="29" t="s">
        <v>849</v>
      </c>
      <c r="B318" s="60" t="s">
        <v>850</v>
      </c>
      <c r="C318" s="61" t="n">
        <f aca="false">P318</f>
        <v>161155.69823435</v>
      </c>
      <c r="D318" s="61" t="n">
        <f aca="false">AB318</f>
        <v>0</v>
      </c>
      <c r="E318" s="62" t="n">
        <f aca="false">MAX(0,Engagement_Register!$AP$24-E310)</f>
        <v>400000</v>
      </c>
      <c r="F318" s="62" t="n">
        <f aca="false">MAX(0,Engagement_Register!$AP$24-F310)</f>
        <v>400000</v>
      </c>
      <c r="G318" s="62" t="n">
        <f aca="false">MAX(0,Engagement_Register!$AP$24-G310)</f>
        <v>400000</v>
      </c>
      <c r="H318" s="62" t="n">
        <f aca="false">MAX(0,Engagement_Register!$AP$24-H310)</f>
        <v>400000</v>
      </c>
      <c r="I318" s="62" t="n">
        <f aca="false">MAX(0,Engagement_Register!$AP$24-I310)</f>
        <v>400000</v>
      </c>
      <c r="J318" s="62" t="n">
        <f aca="false">MAX(0,Engagement_Register!$AP$24-J310)</f>
        <v>400000</v>
      </c>
      <c r="K318" s="62" t="n">
        <f aca="false">MAX(0,Engagement_Register!$AP$24-K310)</f>
        <v>400000</v>
      </c>
      <c r="L318" s="62" t="n">
        <f aca="false">MAX(0,Engagement_Register!$AP$24-L310)</f>
        <v>400000</v>
      </c>
      <c r="M318" s="62" t="n">
        <f aca="false">MAX(0,Engagement_Register!$AP$24-M310)</f>
        <v>338683.78812199</v>
      </c>
      <c r="N318" s="62" t="n">
        <f aca="false">MAX(0,Engagement_Register!$AP$24-N310)</f>
        <v>279614.767255217</v>
      </c>
      <c r="O318" s="62" t="n">
        <f aca="false">MAX(0,Engagement_Register!$AP$24-O310)</f>
        <v>221187.800963082</v>
      </c>
      <c r="P318" s="62" t="n">
        <f aca="false">MAX(0,Engagement_Register!$AP$24-P310)</f>
        <v>161155.69823435</v>
      </c>
      <c r="Q318" s="62" t="n">
        <f aca="false">MAX(0,Engagement_Register!$AP$24-Q310)</f>
        <v>109791.332263242</v>
      </c>
      <c r="R318" s="62" t="n">
        <f aca="false">MAX(0,Engagement_Register!$AP$24-R310)</f>
        <v>56821.8298555377</v>
      </c>
      <c r="S318" s="62" t="n">
        <f aca="false">MAX(0,Engagement_Register!$AP$24-S310)</f>
        <v>0</v>
      </c>
      <c r="T318" s="62" t="n">
        <f aca="false">MAX(0,Engagement_Register!$AP$24-T310)</f>
        <v>0</v>
      </c>
      <c r="U318" s="62" t="n">
        <f aca="false">MAX(0,Engagement_Register!$AP$24-U310)</f>
        <v>0</v>
      </c>
      <c r="V318" s="62" t="n">
        <f aca="false">MAX(0,Engagement_Register!$AP$24-V310)</f>
        <v>0</v>
      </c>
      <c r="W318" s="62" t="n">
        <f aca="false">MAX(0,Engagement_Register!$AP$24-W310)</f>
        <v>0</v>
      </c>
      <c r="X318" s="62" t="n">
        <f aca="false">MAX(0,Engagement_Register!$AP$24-X310)</f>
        <v>0</v>
      </c>
      <c r="Y318" s="62" t="n">
        <f aca="false">MAX(0,Engagement_Register!$AP$24-Y310)</f>
        <v>0</v>
      </c>
      <c r="Z318" s="62" t="n">
        <f aca="false">MAX(0,Engagement_Register!$AP$24-Z310)</f>
        <v>0</v>
      </c>
      <c r="AA318" s="62" t="n">
        <f aca="false">MAX(0,Engagement_Register!$AP$24-AA310)</f>
        <v>0</v>
      </c>
      <c r="AB318" s="62" t="n">
        <f aca="false">MAX(0,Engagement_Register!$AP$24-AB310)</f>
        <v>0</v>
      </c>
    </row>
    <row r="320" customFormat="false" ht="15" hidden="false" customHeight="false" outlineLevel="0" collapsed="false">
      <c r="A320" s="23" t="s">
        <v>884</v>
      </c>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row>
    <row r="321" customFormat="false" ht="15" hidden="false" customHeight="false" outlineLevel="0" collapsed="false">
      <c r="A321" s="29" t="s">
        <v>736</v>
      </c>
      <c r="B321" s="60" t="s">
        <v>832</v>
      </c>
      <c r="C321" s="66" t="n">
        <f aca="false">P321</f>
        <v>1445.54536950421</v>
      </c>
      <c r="D321" s="66" t="n">
        <f aca="false">AB321</f>
        <v>2077</v>
      </c>
      <c r="E321" s="67" t="n">
        <f aca="false">Engagement_Register!$T$25+E27</f>
        <v>0</v>
      </c>
      <c r="F321" s="72" t="n">
        <f aca="false">E321+F27</f>
        <v>0</v>
      </c>
      <c r="G321" s="72" t="n">
        <f aca="false">F321+G27</f>
        <v>0</v>
      </c>
      <c r="H321" s="72" t="n">
        <f aca="false">G321+H27</f>
        <v>0</v>
      </c>
      <c r="I321" s="72" t="n">
        <f aca="false">H321+I27</f>
        <v>0</v>
      </c>
      <c r="J321" s="72" t="n">
        <f aca="false">I321+J27</f>
        <v>0</v>
      </c>
      <c r="K321" s="72" t="n">
        <f aca="false">J321+K27</f>
        <v>0</v>
      </c>
      <c r="L321" s="72" t="n">
        <f aca="false">K321+L27</f>
        <v>0</v>
      </c>
      <c r="M321" s="72" t="n">
        <f aca="false">L321+M27</f>
        <v>371.101028999065</v>
      </c>
      <c r="N321" s="72" t="n">
        <f aca="false">M321+N27</f>
        <v>728.601496725912</v>
      </c>
      <c r="O321" s="72" t="n">
        <f aca="false">N321+O27</f>
        <v>1082.21608980355</v>
      </c>
      <c r="P321" s="72" t="n">
        <f aca="false">O321+P27</f>
        <v>1445.54536950421</v>
      </c>
      <c r="Q321" s="72" t="n">
        <f aca="false">P321+Q27</f>
        <v>1756.4153414406</v>
      </c>
      <c r="R321" s="72" t="n">
        <f aca="false">Q321+R27</f>
        <v>2077</v>
      </c>
      <c r="S321" s="72" t="n">
        <f aca="false">R321+S27</f>
        <v>2077</v>
      </c>
      <c r="T321" s="72" t="n">
        <f aca="false">S321+T27</f>
        <v>2077</v>
      </c>
      <c r="U321" s="72" t="n">
        <f aca="false">T321+U27</f>
        <v>2077</v>
      </c>
      <c r="V321" s="72" t="n">
        <f aca="false">U321+V27</f>
        <v>2077</v>
      </c>
      <c r="W321" s="72" t="n">
        <f aca="false">V321+W27</f>
        <v>2077</v>
      </c>
      <c r="X321" s="72" t="n">
        <f aca="false">W321+X27</f>
        <v>2077</v>
      </c>
      <c r="Y321" s="72" t="n">
        <f aca="false">X321+Y27</f>
        <v>2077</v>
      </c>
      <c r="Z321" s="72" t="n">
        <f aca="false">Y321+Z27</f>
        <v>2077</v>
      </c>
      <c r="AA321" s="72" t="n">
        <f aca="false">Z321+AA27</f>
        <v>2077</v>
      </c>
      <c r="AB321" s="72" t="n">
        <f aca="false">AA321+AB27</f>
        <v>2077</v>
      </c>
    </row>
    <row r="322" customFormat="false" ht="15" hidden="false" customHeight="false" outlineLevel="0" collapsed="false">
      <c r="A322" s="29" t="s">
        <v>833</v>
      </c>
      <c r="B322" s="60" t="s">
        <v>834</v>
      </c>
      <c r="C322" s="61" t="n">
        <f aca="false">SUM(E322:P322)</f>
        <v>284338.774181478</v>
      </c>
      <c r="D322" s="61" t="n">
        <f aca="false">SUM(Q322:AB322)</f>
        <v>129175.410851263</v>
      </c>
      <c r="E322" s="62" t="n">
        <f aca="false">E27*Engagement_Register!$AD$25*Assumptions!E$194</f>
        <v>0</v>
      </c>
      <c r="F322" s="62" t="n">
        <f aca="false">F27*Engagement_Register!$AD$25*Assumptions!F$194</f>
        <v>0</v>
      </c>
      <c r="G322" s="62" t="n">
        <f aca="false">G27*Engagement_Register!$AD$25*Assumptions!G$194</f>
        <v>0</v>
      </c>
      <c r="H322" s="62" t="n">
        <f aca="false">H27*Engagement_Register!$AD$25*Assumptions!H$194</f>
        <v>0</v>
      </c>
      <c r="I322" s="62" t="n">
        <f aca="false">I27*Engagement_Register!$AD$25*Assumptions!I$194</f>
        <v>0</v>
      </c>
      <c r="J322" s="62" t="n">
        <f aca="false">J27*Engagement_Register!$AD$25*Assumptions!J$194</f>
        <v>0</v>
      </c>
      <c r="K322" s="62" t="n">
        <f aca="false">K27*Engagement_Register!$AD$25*Assumptions!K$194</f>
        <v>0</v>
      </c>
      <c r="L322" s="62" t="n">
        <f aca="false">L27*Engagement_Register!$AD$25*Assumptions!L$194</f>
        <v>0</v>
      </c>
      <c r="M322" s="62" t="n">
        <f aca="false">M27*Engagement_Register!$AD$25*Assumptions!M$194</f>
        <v>72995.572404116</v>
      </c>
      <c r="N322" s="62" t="n">
        <f aca="false">N27*Engagement_Register!$AD$25*Assumptions!N$194</f>
        <v>70320.3420018709</v>
      </c>
      <c r="O322" s="62" t="n">
        <f aca="false">O27*Engagement_Register!$AD$25*Assumptions!O$194</f>
        <v>69555.9904583723</v>
      </c>
      <c r="P322" s="62" t="n">
        <f aca="false">P27*Engagement_Register!$AD$25*Assumptions!P$194</f>
        <v>71466.8693171188</v>
      </c>
      <c r="Q322" s="62" t="n">
        <f aca="false">Q27*Engagement_Register!$AD$25*Assumptions!Q$194</f>
        <v>63594.0484190833</v>
      </c>
      <c r="R322" s="62" t="n">
        <f aca="false">R27*Engagement_Register!$AD$25*Assumptions!R$194</f>
        <v>65581.3624321796</v>
      </c>
      <c r="S322" s="62" t="n">
        <f aca="false">S27*Engagement_Register!$AD$25*Assumptions!S$194</f>
        <v>0</v>
      </c>
      <c r="T322" s="62" t="n">
        <f aca="false">T27*Engagement_Register!$AD$25*Assumptions!T$194</f>
        <v>0</v>
      </c>
      <c r="U322" s="62" t="n">
        <f aca="false">U27*Engagement_Register!$AD$25*Assumptions!U$194</f>
        <v>0</v>
      </c>
      <c r="V322" s="62" t="n">
        <f aca="false">V27*Engagement_Register!$AD$25*Assumptions!V$194</f>
        <v>0</v>
      </c>
      <c r="W322" s="62" t="n">
        <f aca="false">W27*Engagement_Register!$AD$25*Assumptions!W$194</f>
        <v>0</v>
      </c>
      <c r="X322" s="62" t="n">
        <f aca="false">X27*Engagement_Register!$AD$25*Assumptions!X$194</f>
        <v>0</v>
      </c>
      <c r="Y322" s="62" t="n">
        <f aca="false">Y27*Engagement_Register!$AD$25*Assumptions!Y$194</f>
        <v>0</v>
      </c>
      <c r="Z322" s="62" t="n">
        <f aca="false">Z27*Engagement_Register!$AD$25*Assumptions!Z$194</f>
        <v>0</v>
      </c>
      <c r="AA322" s="62" t="n">
        <f aca="false">AA27*Engagement_Register!$AD$25*Assumptions!AA$194</f>
        <v>0</v>
      </c>
      <c r="AB322" s="62" t="n">
        <f aca="false">AB27*Engagement_Register!$AD$25*Assumptions!AB$194</f>
        <v>0</v>
      </c>
    </row>
    <row r="323" customFormat="false" ht="15" hidden="false" customHeight="false" outlineLevel="0" collapsed="false">
      <c r="A323" s="29" t="s">
        <v>835</v>
      </c>
      <c r="B323" s="60" t="s">
        <v>836</v>
      </c>
      <c r="C323" s="61" t="n">
        <f aca="false">SUM(E323:P323)</f>
        <v>267278.447730589</v>
      </c>
      <c r="D323" s="61" t="n">
        <f aca="false">SUM(Q323:AB323)</f>
        <v>121424.886200187</v>
      </c>
      <c r="E323" s="62" t="n">
        <f aca="false">E27*Engagement_Register!$AE$25*Assumptions!E$194</f>
        <v>0</v>
      </c>
      <c r="F323" s="62" t="n">
        <f aca="false">F27*Engagement_Register!$AE$25*Assumptions!F$194</f>
        <v>0</v>
      </c>
      <c r="G323" s="62" t="n">
        <f aca="false">G27*Engagement_Register!$AE$25*Assumptions!G$194</f>
        <v>0</v>
      </c>
      <c r="H323" s="62" t="n">
        <f aca="false">H27*Engagement_Register!$AE$25*Assumptions!H$194</f>
        <v>0</v>
      </c>
      <c r="I323" s="62" t="n">
        <f aca="false">I27*Engagement_Register!$AE$25*Assumptions!I$194</f>
        <v>0</v>
      </c>
      <c r="J323" s="62" t="n">
        <f aca="false">J27*Engagement_Register!$AE$25*Assumptions!J$194</f>
        <v>0</v>
      </c>
      <c r="K323" s="62" t="n">
        <f aca="false">K27*Engagement_Register!$AE$25*Assumptions!K$194</f>
        <v>0</v>
      </c>
      <c r="L323" s="62" t="n">
        <f aca="false">L27*Engagement_Register!$AE$25*Assumptions!L$194</f>
        <v>0</v>
      </c>
      <c r="M323" s="62" t="n">
        <f aca="false">M27*Engagement_Register!$AE$25*Assumptions!M$194</f>
        <v>68615.838059869</v>
      </c>
      <c r="N323" s="62" t="n">
        <f aca="false">N27*Engagement_Register!$AE$25*Assumptions!N$194</f>
        <v>66101.1214817586</v>
      </c>
      <c r="O323" s="62" t="n">
        <f aca="false">O27*Engagement_Register!$AE$25*Assumptions!O$194</f>
        <v>65382.63103087</v>
      </c>
      <c r="P323" s="62" t="n">
        <f aca="false">P27*Engagement_Register!$AE$25*Assumptions!P$194</f>
        <v>67178.8571580917</v>
      </c>
      <c r="Q323" s="62" t="n">
        <f aca="false">Q27*Engagement_Register!$AE$25*Assumptions!Q$194</f>
        <v>59778.4055139383</v>
      </c>
      <c r="R323" s="62" t="n">
        <f aca="false">R27*Engagement_Register!$AE$25*Assumptions!R$194</f>
        <v>61646.4806862488</v>
      </c>
      <c r="S323" s="62" t="n">
        <f aca="false">S27*Engagement_Register!$AE$25*Assumptions!S$194</f>
        <v>0</v>
      </c>
      <c r="T323" s="62" t="n">
        <f aca="false">T27*Engagement_Register!$AE$25*Assumptions!T$194</f>
        <v>0</v>
      </c>
      <c r="U323" s="62" t="n">
        <f aca="false">U27*Engagement_Register!$AE$25*Assumptions!U$194</f>
        <v>0</v>
      </c>
      <c r="V323" s="62" t="n">
        <f aca="false">V27*Engagement_Register!$AE$25*Assumptions!V$194</f>
        <v>0</v>
      </c>
      <c r="W323" s="62" t="n">
        <f aca="false">W27*Engagement_Register!$AE$25*Assumptions!W$194</f>
        <v>0</v>
      </c>
      <c r="X323" s="62" t="n">
        <f aca="false">X27*Engagement_Register!$AE$25*Assumptions!X$194</f>
        <v>0</v>
      </c>
      <c r="Y323" s="62" t="n">
        <f aca="false">Y27*Engagement_Register!$AE$25*Assumptions!Y$194</f>
        <v>0</v>
      </c>
      <c r="Z323" s="62" t="n">
        <f aca="false">Z27*Engagement_Register!$AE$25*Assumptions!Z$194</f>
        <v>0</v>
      </c>
      <c r="AA323" s="62" t="n">
        <f aca="false">AA27*Engagement_Register!$AE$25*Assumptions!AA$194</f>
        <v>0</v>
      </c>
      <c r="AB323" s="62" t="n">
        <f aca="false">AB27*Engagement_Register!$AE$25*Assumptions!AB$194</f>
        <v>0</v>
      </c>
    </row>
    <row r="324" customFormat="false" ht="15" hidden="false" customHeight="false" outlineLevel="0" collapsed="false">
      <c r="A324" s="68" t="s">
        <v>349</v>
      </c>
      <c r="B324" s="69" t="s">
        <v>837</v>
      </c>
      <c r="C324" s="70" t="n">
        <f aca="false">SUM(E324:P324)</f>
        <v>256587.309821366</v>
      </c>
      <c r="D324" s="70" t="n">
        <f aca="false">SUM(Q324:AB324)</f>
        <v>116567.89075218</v>
      </c>
      <c r="E324" s="74" t="n">
        <f aca="false">IF(E$5="A",0,E323*(1-Engagement_Register!$AS$25))</f>
        <v>0</v>
      </c>
      <c r="F324" s="74" t="n">
        <f aca="false">IF(F$5="A",0,F323*(1-Engagement_Register!$AS$25))</f>
        <v>0</v>
      </c>
      <c r="G324" s="74" t="n">
        <f aca="false">IF(G$5="A",0,G323*(1-Engagement_Register!$AS$25))</f>
        <v>0</v>
      </c>
      <c r="H324" s="74" t="n">
        <f aca="false">IF(H$5="A",0,H323*(1-Engagement_Register!$AS$25))</f>
        <v>0</v>
      </c>
      <c r="I324" s="74" t="n">
        <f aca="false">IF(I$5="A",0,I323*(1-Engagement_Register!$AS$25))</f>
        <v>0</v>
      </c>
      <c r="J324" s="74" t="n">
        <f aca="false">IF(J$5="A",0,J323*(1-Engagement_Register!$AS$25))</f>
        <v>0</v>
      </c>
      <c r="K324" s="74" t="n">
        <f aca="false">IF(K$5="A",0,K323*(1-Engagement_Register!$AS$25))</f>
        <v>0</v>
      </c>
      <c r="L324" s="74" t="n">
        <f aca="false">IF(L$5="A",0,L323*(1-Engagement_Register!$AS$25))</f>
        <v>0</v>
      </c>
      <c r="M324" s="74" t="n">
        <f aca="false">IF(M$5="A",0,M323*(1-Engagement_Register!$AS$25))</f>
        <v>65871.2045374743</v>
      </c>
      <c r="N324" s="74" t="n">
        <f aca="false">IF(N$5="A",0,N323*(1-Engagement_Register!$AS$25))</f>
        <v>63457.0766224883</v>
      </c>
      <c r="O324" s="74" t="n">
        <f aca="false">IF(O$5="A",0,O323*(1-Engagement_Register!$AS$25))</f>
        <v>62767.3257896352</v>
      </c>
      <c r="P324" s="74" t="n">
        <f aca="false">IF(P$5="A",0,P323*(1-Engagement_Register!$AS$25))</f>
        <v>64491.702871768</v>
      </c>
      <c r="Q324" s="74" t="n">
        <f aca="false">IF(Q$5="A",0,Q323*(1-Engagement_Register!$AS$25))</f>
        <v>57387.2692933807</v>
      </c>
      <c r="R324" s="74" t="n">
        <f aca="false">IF(R$5="A",0,R323*(1-Engagement_Register!$AS$25))</f>
        <v>59180.6214587989</v>
      </c>
      <c r="S324" s="74" t="n">
        <f aca="false">IF(S$5="A",0,S323*(1-Engagement_Register!$AS$25))</f>
        <v>0</v>
      </c>
      <c r="T324" s="74" t="n">
        <f aca="false">IF(T$5="A",0,T323*(1-Engagement_Register!$AS$25))</f>
        <v>0</v>
      </c>
      <c r="U324" s="74" t="n">
        <f aca="false">IF(U$5="A",0,U323*(1-Engagement_Register!$AS$25))</f>
        <v>0</v>
      </c>
      <c r="V324" s="74" t="n">
        <f aca="false">IF(V$5="A",0,V323*(1-Engagement_Register!$AS$25))</f>
        <v>0</v>
      </c>
      <c r="W324" s="74" t="n">
        <f aca="false">IF(W$5="A",0,W323*(1-Engagement_Register!$AS$25))</f>
        <v>0</v>
      </c>
      <c r="X324" s="74" t="n">
        <f aca="false">IF(X$5="A",0,X323*(1-Engagement_Register!$AS$25))</f>
        <v>0</v>
      </c>
      <c r="Y324" s="74" t="n">
        <f aca="false">IF(Y$5="A",0,Y323*(1-Engagement_Register!$AS$25))</f>
        <v>0</v>
      </c>
      <c r="Z324" s="74" t="n">
        <f aca="false">IF(Z$5="A",0,Z323*(1-Engagement_Register!$AS$25))</f>
        <v>0</v>
      </c>
      <c r="AA324" s="74" t="n">
        <f aca="false">IF(AA$5="A",0,AA323*(1-Engagement_Register!$AS$25))</f>
        <v>0</v>
      </c>
      <c r="AB324" s="74" t="n">
        <f aca="false">IF(AB$5="A",0,AB323*(1-Engagement_Register!$AS$25))</f>
        <v>0</v>
      </c>
    </row>
    <row r="325" customFormat="false" ht="15" hidden="false" customHeight="false" outlineLevel="0" collapsed="false">
      <c r="A325" s="29" t="s">
        <v>838</v>
      </c>
      <c r="B325" s="60" t="s">
        <v>839</v>
      </c>
      <c r="C325" s="61" t="n">
        <f aca="false">SUM(E325:P325)</f>
        <v>192095.606949598</v>
      </c>
      <c r="D325" s="61" t="n">
        <f aca="false">SUM(Q325:AB325)</f>
        <v>181059.593623948</v>
      </c>
      <c r="E325" s="71" t="n">
        <f aca="false">IF(E$5="A",0,0)</f>
        <v>0</v>
      </c>
      <c r="F325" s="71" t="n">
        <f aca="false">IF(F$5="A",0,E324)</f>
        <v>0</v>
      </c>
      <c r="G325" s="71" t="n">
        <f aca="false">IF(G$5="A",0,F324)</f>
        <v>0</v>
      </c>
      <c r="H325" s="71" t="n">
        <f aca="false">IF(H$5="A",0,G324)</f>
        <v>0</v>
      </c>
      <c r="I325" s="71" t="n">
        <f aca="false">IF(I$5="A",0,H324)</f>
        <v>0</v>
      </c>
      <c r="J325" s="71" t="n">
        <f aca="false">IF(J$5="A",0,I324)</f>
        <v>0</v>
      </c>
      <c r="K325" s="71" t="n">
        <f aca="false">IF(K$5="A",0,J324)</f>
        <v>0</v>
      </c>
      <c r="L325" s="71" t="n">
        <f aca="false">IF(L$5="A",0,K324)</f>
        <v>0</v>
      </c>
      <c r="M325" s="71" t="n">
        <f aca="false">IF(M$5="A",0,L324)</f>
        <v>0</v>
      </c>
      <c r="N325" s="71" t="n">
        <f aca="false">IF(N$5="A",0,M324)</f>
        <v>65871.2045374743</v>
      </c>
      <c r="O325" s="71" t="n">
        <f aca="false">IF(O$5="A",0,N324)</f>
        <v>63457.0766224883</v>
      </c>
      <c r="P325" s="71" t="n">
        <f aca="false">IF(P$5="A",0,O324)</f>
        <v>62767.3257896352</v>
      </c>
      <c r="Q325" s="71" t="n">
        <f aca="false">IF(Q$5="A",0,P324)</f>
        <v>64491.702871768</v>
      </c>
      <c r="R325" s="71" t="n">
        <f aca="false">IF(R$5="A",0,Q324)</f>
        <v>57387.2692933807</v>
      </c>
      <c r="S325" s="71" t="n">
        <f aca="false">IF(S$5="A",0,R324)</f>
        <v>59180.6214587989</v>
      </c>
      <c r="T325" s="71" t="n">
        <f aca="false">IF(T$5="A",0,S324)</f>
        <v>0</v>
      </c>
      <c r="U325" s="71" t="n">
        <f aca="false">IF(U$5="A",0,T324)</f>
        <v>0</v>
      </c>
      <c r="V325" s="71" t="n">
        <f aca="false">IF(V$5="A",0,U324)</f>
        <v>0</v>
      </c>
      <c r="W325" s="71" t="n">
        <f aca="false">IF(W$5="A",0,V324)</f>
        <v>0</v>
      </c>
      <c r="X325" s="71" t="n">
        <f aca="false">IF(X$5="A",0,W324)</f>
        <v>0</v>
      </c>
      <c r="Y325" s="71" t="n">
        <f aca="false">IF(Y$5="A",0,X324)</f>
        <v>0</v>
      </c>
      <c r="Z325" s="71" t="n">
        <f aca="false">IF(Z$5="A",0,Y324)</f>
        <v>0</v>
      </c>
      <c r="AA325" s="71" t="n">
        <f aca="false">IF(AA$5="A",0,Z324)</f>
        <v>0</v>
      </c>
      <c r="AB325" s="71" t="n">
        <f aca="false">IF(AB$5="A",0,AA324)</f>
        <v>0</v>
      </c>
    </row>
    <row r="326" customFormat="false" ht="15" hidden="false" customHeight="false" outlineLevel="0" collapsed="false">
      <c r="A326" s="29" t="s">
        <v>840</v>
      </c>
      <c r="B326" s="60"/>
      <c r="C326" s="61" t="n">
        <f aca="false">P326</f>
        <v>192095.606949598</v>
      </c>
      <c r="D326" s="61" t="n">
        <f aca="false">AB326</f>
        <v>373155.200573545</v>
      </c>
      <c r="E326" s="62" t="n">
        <f aca="false">Engagement_Register!$V$25+E325</f>
        <v>0</v>
      </c>
      <c r="F326" s="71" t="n">
        <f aca="false">E326+F325</f>
        <v>0</v>
      </c>
      <c r="G326" s="71" t="n">
        <f aca="false">F326+G325</f>
        <v>0</v>
      </c>
      <c r="H326" s="71" t="n">
        <f aca="false">G326+H325</f>
        <v>0</v>
      </c>
      <c r="I326" s="71" t="n">
        <f aca="false">H326+I325</f>
        <v>0</v>
      </c>
      <c r="J326" s="71" t="n">
        <f aca="false">I326+J325</f>
        <v>0</v>
      </c>
      <c r="K326" s="71" t="n">
        <f aca="false">J326+K325</f>
        <v>0</v>
      </c>
      <c r="L326" s="71" t="n">
        <f aca="false">K326+L325</f>
        <v>0</v>
      </c>
      <c r="M326" s="71" t="n">
        <f aca="false">L326+M325</f>
        <v>0</v>
      </c>
      <c r="N326" s="71" t="n">
        <f aca="false">M326+N325</f>
        <v>65871.2045374743</v>
      </c>
      <c r="O326" s="71" t="n">
        <f aca="false">N326+O325</f>
        <v>129328.281159963</v>
      </c>
      <c r="P326" s="71" t="n">
        <f aca="false">O326+P325</f>
        <v>192095.606949598</v>
      </c>
      <c r="Q326" s="71" t="n">
        <f aca="false">P326+Q325</f>
        <v>256587.309821366</v>
      </c>
      <c r="R326" s="71" t="n">
        <f aca="false">Q326+R325</f>
        <v>313974.579114747</v>
      </c>
      <c r="S326" s="71" t="n">
        <f aca="false">R326+S325</f>
        <v>373155.200573545</v>
      </c>
      <c r="T326" s="71" t="n">
        <f aca="false">S326+T325</f>
        <v>373155.200573545</v>
      </c>
      <c r="U326" s="71" t="n">
        <f aca="false">T326+U325</f>
        <v>373155.200573545</v>
      </c>
      <c r="V326" s="71" t="n">
        <f aca="false">U326+V325</f>
        <v>373155.200573545</v>
      </c>
      <c r="W326" s="71" t="n">
        <f aca="false">V326+W325</f>
        <v>373155.200573545</v>
      </c>
      <c r="X326" s="71" t="n">
        <f aca="false">W326+X325</f>
        <v>373155.200573545</v>
      </c>
      <c r="Y326" s="71" t="n">
        <f aca="false">X326+Y325</f>
        <v>373155.200573545</v>
      </c>
      <c r="Z326" s="71" t="n">
        <f aca="false">Y326+Z325</f>
        <v>373155.200573545</v>
      </c>
      <c r="AA326" s="71" t="n">
        <f aca="false">Z326+AA325</f>
        <v>373155.200573545</v>
      </c>
      <c r="AB326" s="71" t="n">
        <f aca="false">AA326+AB325</f>
        <v>373155.200573545</v>
      </c>
    </row>
    <row r="327" customFormat="false" ht="15" hidden="false" customHeight="false" outlineLevel="0" collapsed="false">
      <c r="A327" s="29" t="s">
        <v>841</v>
      </c>
      <c r="B327" s="60" t="s">
        <v>842</v>
      </c>
      <c r="C327" s="61" t="n">
        <f aca="false">SUM(E327:P327)</f>
        <v>14455.4536950421</v>
      </c>
      <c r="D327" s="61" t="n">
        <f aca="false">SUM(Q327:AB327)</f>
        <v>6503.98269410664</v>
      </c>
      <c r="E327" s="62" t="n">
        <f aca="false">IF(E$5="A",0,E27*Engagement_Register!$N$25*Assumptions!E$195)</f>
        <v>0</v>
      </c>
      <c r="F327" s="62" t="n">
        <f aca="false">IF(F$5="A",0,F27*Engagement_Register!$N$25*Assumptions!F$195)</f>
        <v>0</v>
      </c>
      <c r="G327" s="62" t="n">
        <f aca="false">IF(G$5="A",0,G27*Engagement_Register!$N$25*Assumptions!G$195)</f>
        <v>0</v>
      </c>
      <c r="H327" s="62" t="n">
        <f aca="false">IF(H$5="A",0,H27*Engagement_Register!$N$25*Assumptions!H$195)</f>
        <v>0</v>
      </c>
      <c r="I327" s="62" t="n">
        <f aca="false">IF(I$5="A",0,I27*Engagement_Register!$N$25*Assumptions!I$195)</f>
        <v>0</v>
      </c>
      <c r="J327" s="62" t="n">
        <f aca="false">IF(J$5="A",0,J27*Engagement_Register!$N$25*Assumptions!J$195)</f>
        <v>0</v>
      </c>
      <c r="K327" s="62" t="n">
        <f aca="false">IF(K$5="A",0,K27*Engagement_Register!$N$25*Assumptions!K$195)</f>
        <v>0</v>
      </c>
      <c r="L327" s="62" t="n">
        <f aca="false">IF(L$5="A",0,L27*Engagement_Register!$N$25*Assumptions!L$195)</f>
        <v>0</v>
      </c>
      <c r="M327" s="62" t="n">
        <f aca="false">IF(M$5="A",0,M27*Engagement_Register!$N$25*Assumptions!M$195)</f>
        <v>3711.01028999065</v>
      </c>
      <c r="N327" s="62" t="n">
        <f aca="false">IF(N$5="A",0,N27*Engagement_Register!$N$25*Assumptions!N$195)</f>
        <v>3575.00467726848</v>
      </c>
      <c r="O327" s="62" t="n">
        <f aca="false">IF(O$5="A",0,O27*Engagement_Register!$N$25*Assumptions!O$195)</f>
        <v>3536.14593077643</v>
      </c>
      <c r="P327" s="62" t="n">
        <f aca="false">IF(P$5="A",0,P27*Engagement_Register!$N$25*Assumptions!P$195)</f>
        <v>3633.29279700655</v>
      </c>
      <c r="Q327" s="62" t="n">
        <f aca="false">IF(Q$5="A",0,Q27*Engagement_Register!$N$25*Assumptions!Q$195)</f>
        <v>3201.96071094481</v>
      </c>
      <c r="R327" s="62" t="n">
        <f aca="false">IF(R$5="A",0,R27*Engagement_Register!$N$25*Assumptions!R$195)</f>
        <v>3302.02198316183</v>
      </c>
      <c r="S327" s="62" t="n">
        <f aca="false">IF(S$5="A",0,S27*Engagement_Register!$N$25*Assumptions!S$195)</f>
        <v>0</v>
      </c>
      <c r="T327" s="62" t="n">
        <f aca="false">IF(T$5="A",0,T27*Engagement_Register!$N$25*Assumptions!T$195)</f>
        <v>0</v>
      </c>
      <c r="U327" s="62" t="n">
        <f aca="false">IF(U$5="A",0,U27*Engagement_Register!$N$25*Assumptions!U$195)</f>
        <v>0</v>
      </c>
      <c r="V327" s="62" t="n">
        <f aca="false">IF(V$5="A",0,V27*Engagement_Register!$N$25*Assumptions!V$195)</f>
        <v>0</v>
      </c>
      <c r="W327" s="62" t="n">
        <f aca="false">IF(W$5="A",0,W27*Engagement_Register!$N$25*Assumptions!W$195)</f>
        <v>0</v>
      </c>
      <c r="X327" s="62" t="n">
        <f aca="false">IF(X$5="A",0,X27*Engagement_Register!$N$25*Assumptions!X$195)</f>
        <v>0</v>
      </c>
      <c r="Y327" s="62" t="n">
        <f aca="false">IF(Y$5="A",0,Y27*Engagement_Register!$N$25*Assumptions!Y$195)</f>
        <v>0</v>
      </c>
      <c r="Z327" s="62" t="n">
        <f aca="false">IF(Z$5="A",0,Z27*Engagement_Register!$N$25*Assumptions!Z$195)</f>
        <v>0</v>
      </c>
      <c r="AA327" s="62" t="n">
        <f aca="false">IF(AA$5="A",0,AA27*Engagement_Register!$N$25*Assumptions!AA$195)</f>
        <v>0</v>
      </c>
      <c r="AB327" s="62" t="n">
        <f aca="false">IF(AB$5="A",0,AB27*Engagement_Register!$N$25*Assumptions!AB$195)</f>
        <v>0</v>
      </c>
    </row>
    <row r="328" customFormat="false" ht="15" hidden="false" customHeight="false" outlineLevel="0" collapsed="false">
      <c r="A328" s="29" t="s">
        <v>843</v>
      </c>
      <c r="B328" s="60" t="s">
        <v>844</v>
      </c>
      <c r="C328" s="61" t="n">
        <f aca="false">SUM(E328:P328)</f>
        <v>14455.4536950421</v>
      </c>
      <c r="D328" s="61" t="n">
        <f aca="false">SUM(Q328:AB328)</f>
        <v>6503.98269410664</v>
      </c>
      <c r="E328" s="71" t="n">
        <f aca="false">E327</f>
        <v>0</v>
      </c>
      <c r="F328" s="71" t="n">
        <f aca="false">F327</f>
        <v>0</v>
      </c>
      <c r="G328" s="71" t="n">
        <f aca="false">G327</f>
        <v>0</v>
      </c>
      <c r="H328" s="71" t="n">
        <f aca="false">H327</f>
        <v>0</v>
      </c>
      <c r="I328" s="71" t="n">
        <f aca="false">I327</f>
        <v>0</v>
      </c>
      <c r="J328" s="71" t="n">
        <f aca="false">J327</f>
        <v>0</v>
      </c>
      <c r="K328" s="71" t="n">
        <f aca="false">K327</f>
        <v>0</v>
      </c>
      <c r="L328" s="71" t="n">
        <f aca="false">L327</f>
        <v>0</v>
      </c>
      <c r="M328" s="71" t="n">
        <f aca="false">M327</f>
        <v>3711.01028999065</v>
      </c>
      <c r="N328" s="71" t="n">
        <f aca="false">N327</f>
        <v>3575.00467726848</v>
      </c>
      <c r="O328" s="71" t="n">
        <f aca="false">O327</f>
        <v>3536.14593077643</v>
      </c>
      <c r="P328" s="71" t="n">
        <f aca="false">P327</f>
        <v>3633.29279700655</v>
      </c>
      <c r="Q328" s="71" t="n">
        <f aca="false">Q327</f>
        <v>3201.96071094481</v>
      </c>
      <c r="R328" s="71" t="n">
        <f aca="false">R327</f>
        <v>3302.02198316183</v>
      </c>
      <c r="S328" s="71" t="n">
        <f aca="false">S327</f>
        <v>0</v>
      </c>
      <c r="T328" s="71" t="n">
        <f aca="false">T327</f>
        <v>0</v>
      </c>
      <c r="U328" s="71" t="n">
        <f aca="false">U327</f>
        <v>0</v>
      </c>
      <c r="V328" s="71" t="n">
        <f aca="false">V327</f>
        <v>0</v>
      </c>
      <c r="W328" s="71" t="n">
        <f aca="false">W327</f>
        <v>0</v>
      </c>
      <c r="X328" s="71" t="n">
        <f aca="false">X327</f>
        <v>0</v>
      </c>
      <c r="Y328" s="71" t="n">
        <f aca="false">Y327</f>
        <v>0</v>
      </c>
      <c r="Z328" s="71" t="n">
        <f aca="false">Z327</f>
        <v>0</v>
      </c>
      <c r="AA328" s="71" t="n">
        <f aca="false">AA327</f>
        <v>0</v>
      </c>
      <c r="AB328" s="71" t="n">
        <f aca="false">AB327</f>
        <v>0</v>
      </c>
    </row>
    <row r="329" customFormat="false" ht="15" hidden="false" customHeight="false" outlineLevel="0" collapsed="false">
      <c r="A329" s="29" t="s">
        <v>845</v>
      </c>
      <c r="B329" s="60" t="s">
        <v>846</v>
      </c>
      <c r="C329" s="61" t="n">
        <f aca="false">SUM(E329:P329)</f>
        <v>10822.1608980355</v>
      </c>
      <c r="D329" s="61" t="n">
        <f aca="false">SUM(Q329:AB329)</f>
        <v>10137.2754911132</v>
      </c>
      <c r="E329" s="71" t="n">
        <f aca="false">IF(E$5="A",0,0)</f>
        <v>0</v>
      </c>
      <c r="F329" s="71" t="n">
        <f aca="false">IF(F$5="A",0,E328)</f>
        <v>0</v>
      </c>
      <c r="G329" s="71" t="n">
        <f aca="false">IF(G$5="A",0,F328)</f>
        <v>0</v>
      </c>
      <c r="H329" s="71" t="n">
        <f aca="false">IF(H$5="A",0,G328)</f>
        <v>0</v>
      </c>
      <c r="I329" s="71" t="n">
        <f aca="false">IF(I$5="A",0,H328)</f>
        <v>0</v>
      </c>
      <c r="J329" s="71" t="n">
        <f aca="false">IF(J$5="A",0,I328)</f>
        <v>0</v>
      </c>
      <c r="K329" s="71" t="n">
        <f aca="false">IF(K$5="A",0,J328)</f>
        <v>0</v>
      </c>
      <c r="L329" s="71" t="n">
        <f aca="false">IF(L$5="A",0,K328)</f>
        <v>0</v>
      </c>
      <c r="M329" s="71" t="n">
        <f aca="false">IF(M$5="A",0,L328)</f>
        <v>0</v>
      </c>
      <c r="N329" s="71" t="n">
        <f aca="false">IF(N$5="A",0,M328)</f>
        <v>3711.01028999065</v>
      </c>
      <c r="O329" s="71" t="n">
        <f aca="false">IF(O$5="A",0,N328)</f>
        <v>3575.00467726848</v>
      </c>
      <c r="P329" s="71" t="n">
        <f aca="false">IF(P$5="A",0,O328)</f>
        <v>3536.14593077643</v>
      </c>
      <c r="Q329" s="71" t="n">
        <f aca="false">IF(Q$5="A",0,P328)</f>
        <v>3633.29279700655</v>
      </c>
      <c r="R329" s="71" t="n">
        <f aca="false">IF(R$5="A",0,Q328)</f>
        <v>3201.96071094481</v>
      </c>
      <c r="S329" s="71" t="n">
        <f aca="false">IF(S$5="A",0,R328)</f>
        <v>3302.02198316183</v>
      </c>
      <c r="T329" s="71" t="n">
        <f aca="false">IF(T$5="A",0,S328)</f>
        <v>0</v>
      </c>
      <c r="U329" s="71" t="n">
        <f aca="false">IF(U$5="A",0,T328)</f>
        <v>0</v>
      </c>
      <c r="V329" s="71" t="n">
        <f aca="false">IF(V$5="A",0,U328)</f>
        <v>0</v>
      </c>
      <c r="W329" s="71" t="n">
        <f aca="false">IF(W$5="A",0,V328)</f>
        <v>0</v>
      </c>
      <c r="X329" s="71" t="n">
        <f aca="false">IF(X$5="A",0,W328)</f>
        <v>0</v>
      </c>
      <c r="Y329" s="71" t="n">
        <f aca="false">IF(Y$5="A",0,X328)</f>
        <v>0</v>
      </c>
      <c r="Z329" s="71" t="n">
        <f aca="false">IF(Z$5="A",0,Y328)</f>
        <v>0</v>
      </c>
      <c r="AA329" s="71" t="n">
        <f aca="false">IF(AA$5="A",0,Z328)</f>
        <v>0</v>
      </c>
      <c r="AB329" s="71" t="n">
        <f aca="false">IF(AB$5="A",0,AA328)</f>
        <v>0</v>
      </c>
    </row>
    <row r="330" customFormat="false" ht="15" hidden="false" customHeight="false" outlineLevel="0" collapsed="false">
      <c r="A330" s="29" t="s">
        <v>847</v>
      </c>
      <c r="B330" s="60" t="s">
        <v>848</v>
      </c>
      <c r="C330" s="61" t="n">
        <f aca="false">P330</f>
        <v>68124.9956687746</v>
      </c>
      <c r="D330" s="61" t="n">
        <f aca="false">AB330</f>
        <v>0</v>
      </c>
      <c r="E330" s="62" t="n">
        <f aca="false">Engagement_Register!$X$25+E324+E328-E329-E325</f>
        <v>0</v>
      </c>
      <c r="F330" s="71" t="n">
        <f aca="false">E330+F324+F328-F329-F325</f>
        <v>0</v>
      </c>
      <c r="G330" s="71" t="n">
        <f aca="false">F330+G324+G328-G329-G325</f>
        <v>0</v>
      </c>
      <c r="H330" s="71" t="n">
        <f aca="false">G330+H324+H328-H329-H325</f>
        <v>0</v>
      </c>
      <c r="I330" s="71" t="n">
        <f aca="false">H330+I324+I328-I329-I325</f>
        <v>0</v>
      </c>
      <c r="J330" s="71" t="n">
        <f aca="false">I330+J324+J328-J329-J325</f>
        <v>0</v>
      </c>
      <c r="K330" s="71" t="n">
        <f aca="false">J330+K324+K328-K329-K325</f>
        <v>0</v>
      </c>
      <c r="L330" s="71" t="n">
        <f aca="false">K330+L324+L328-L329-L325</f>
        <v>0</v>
      </c>
      <c r="M330" s="71" t="n">
        <f aca="false">L330+M324+M328-M329-M325</f>
        <v>69582.2148274649</v>
      </c>
      <c r="N330" s="71" t="n">
        <f aca="false">M330+N324+N328-N329-N325</f>
        <v>67032.0812997568</v>
      </c>
      <c r="O330" s="71" t="n">
        <f aca="false">N330+O324+O328-O329-O325</f>
        <v>66303.4717204116</v>
      </c>
      <c r="P330" s="71" t="n">
        <f aca="false">O330+P324+P328-P329-P325</f>
        <v>68124.9956687746</v>
      </c>
      <c r="Q330" s="71" t="n">
        <f aca="false">P330+Q324+Q328-Q329-Q325</f>
        <v>60589.2300043255</v>
      </c>
      <c r="R330" s="71" t="n">
        <f aca="false">Q330+R324+R328-R329-R325</f>
        <v>62482.6434419607</v>
      </c>
      <c r="S330" s="71" t="n">
        <f aca="false">R330+S324+S328-S329-S325</f>
        <v>0</v>
      </c>
      <c r="T330" s="71" t="n">
        <f aca="false">S330+T324+T328-T329-T325</f>
        <v>0</v>
      </c>
      <c r="U330" s="71" t="n">
        <f aca="false">T330+U324+U328-U329-U325</f>
        <v>0</v>
      </c>
      <c r="V330" s="71" t="n">
        <f aca="false">U330+V324+V328-V329-V325</f>
        <v>0</v>
      </c>
      <c r="W330" s="71" t="n">
        <f aca="false">V330+W324+W328-W329-W325</f>
        <v>0</v>
      </c>
      <c r="X330" s="71" t="n">
        <f aca="false">W330+X324+X328-X329-X325</f>
        <v>0</v>
      </c>
      <c r="Y330" s="71" t="n">
        <f aca="false">X330+Y324+Y328-Y329-Y325</f>
        <v>0</v>
      </c>
      <c r="Z330" s="71" t="n">
        <f aca="false">Y330+Z324+Z328-Z329-Z325</f>
        <v>0</v>
      </c>
      <c r="AA330" s="71" t="n">
        <f aca="false">Z330+AA324+AA328-AA329-AA325</f>
        <v>0</v>
      </c>
      <c r="AB330" s="71" t="n">
        <f aca="false">AA330+AB324+AB328-AB329-AB325</f>
        <v>0</v>
      </c>
    </row>
    <row r="331" customFormat="false" ht="15" hidden="false" customHeight="false" outlineLevel="0" collapsed="false">
      <c r="A331" s="29" t="s">
        <v>849</v>
      </c>
      <c r="B331" s="60" t="s">
        <v>850</v>
      </c>
      <c r="C331" s="61" t="n">
        <f aca="false">P331</f>
        <v>112084.510338634</v>
      </c>
      <c r="D331" s="61" t="n">
        <f aca="false">AB331</f>
        <v>0</v>
      </c>
      <c r="E331" s="62" t="n">
        <f aca="false">MAX(0,Engagement_Register!$AM$25-E321)*Engagement_Register!$AE$25*Assumptions!E$194*(1-Engagement_Register!$AS$25)</f>
        <v>368671.82016</v>
      </c>
      <c r="F331" s="62" t="n">
        <f aca="false">MAX(0,Engagement_Register!$AM$25-F321)*Engagement_Register!$AE$25*Assumptions!F$194*(1-Engagement_Register!$AS$25)</f>
        <v>368671.82016</v>
      </c>
      <c r="G331" s="62" t="n">
        <f aca="false">MAX(0,Engagement_Register!$AM$25-G321)*Engagement_Register!$AE$25*Assumptions!G$194*(1-Engagement_Register!$AS$25)</f>
        <v>368671.82016</v>
      </c>
      <c r="H331" s="62" t="n">
        <f aca="false">MAX(0,Engagement_Register!$AM$25-H321)*Engagement_Register!$AE$25*Assumptions!H$194*(1-Engagement_Register!$AS$25)</f>
        <v>368671.82016</v>
      </c>
      <c r="I331" s="62" t="n">
        <f aca="false">MAX(0,Engagement_Register!$AM$25-I321)*Engagement_Register!$AE$25*Assumptions!I$194*(1-Engagement_Register!$AS$25)</f>
        <v>368671.82016</v>
      </c>
      <c r="J331" s="62" t="n">
        <f aca="false">MAX(0,Engagement_Register!$AM$25-J321)*Engagement_Register!$AE$25*Assumptions!J$194*(1-Engagement_Register!$AS$25)</f>
        <v>368671.82016</v>
      </c>
      <c r="K331" s="62" t="n">
        <f aca="false">MAX(0,Engagement_Register!$AM$25-K321)*Engagement_Register!$AE$25*Assumptions!K$194*(1-Engagement_Register!$AS$25)</f>
        <v>368671.82016</v>
      </c>
      <c r="L331" s="62" t="n">
        <f aca="false">MAX(0,Engagement_Register!$AM$25-L321)*Engagement_Register!$AE$25*Assumptions!L$194*(1-Engagement_Register!$AS$25)</f>
        <v>368671.82016</v>
      </c>
      <c r="M331" s="62" t="n">
        <f aca="false">MAX(0,Engagement_Register!$AM$25-M321)*Engagement_Register!$AE$25*Assumptions!M$194*(1-Engagement_Register!$AS$25)</f>
        <v>302800.615622526</v>
      </c>
      <c r="N331" s="62" t="n">
        <f aca="false">MAX(0,Engagement_Register!$AM$25-N321)*Engagement_Register!$AE$25*Assumptions!N$194*(1-Engagement_Register!$AS$25)</f>
        <v>239343.539000037</v>
      </c>
      <c r="O331" s="62" t="n">
        <f aca="false">MAX(0,Engagement_Register!$AM$25-O321)*Engagement_Register!$AE$25*Assumptions!O$194*(1-Engagement_Register!$AS$25)</f>
        <v>176576.213210402</v>
      </c>
      <c r="P331" s="62" t="n">
        <f aca="false">MAX(0,Engagement_Register!$AM$25-P321)*Engagement_Register!$AE$25*Assumptions!P$194*(1-Engagement_Register!$AS$25)</f>
        <v>112084.510338634</v>
      </c>
      <c r="Q331" s="62" t="n">
        <f aca="false">MAX(0,Engagement_Register!$AM$25-Q321)*Engagement_Register!$AE$25*Assumptions!Q$194*(1-Engagement_Register!$AS$25)</f>
        <v>59180.6214587989</v>
      </c>
      <c r="R331" s="62" t="n">
        <f aca="false">MAX(0,Engagement_Register!$AM$25-R321)*Engagement_Register!$AE$25*Assumptions!R$194*(1-Engagement_Register!$AS$25)</f>
        <v>0</v>
      </c>
      <c r="S331" s="62" t="n">
        <f aca="false">MAX(0,Engagement_Register!$AM$25-S321)*Engagement_Register!$AE$25*Assumptions!S$194*(1-Engagement_Register!$AS$25)</f>
        <v>0</v>
      </c>
      <c r="T331" s="62" t="n">
        <f aca="false">MAX(0,Engagement_Register!$AM$25-T321)*Engagement_Register!$AE$25*Assumptions!T$194*(1-Engagement_Register!$AS$25)</f>
        <v>0</v>
      </c>
      <c r="U331" s="62" t="n">
        <f aca="false">MAX(0,Engagement_Register!$AM$25-U321)*Engagement_Register!$AE$25*Assumptions!U$194*(1-Engagement_Register!$AS$25)</f>
        <v>0</v>
      </c>
      <c r="V331" s="62" t="n">
        <f aca="false">MAX(0,Engagement_Register!$AM$25-V321)*Engagement_Register!$AE$25*Assumptions!V$194*(1-Engagement_Register!$AS$25)</f>
        <v>0</v>
      </c>
      <c r="W331" s="62" t="n">
        <f aca="false">MAX(0,Engagement_Register!$AM$25-W321)*Engagement_Register!$AE$25*Assumptions!W$194*(1-Engagement_Register!$AS$25)</f>
        <v>0</v>
      </c>
      <c r="X331" s="62" t="n">
        <f aca="false">MAX(0,Engagement_Register!$AM$25-X321)*Engagement_Register!$AE$25*Assumptions!X$194*(1-Engagement_Register!$AS$25)</f>
        <v>0</v>
      </c>
      <c r="Y331" s="62" t="n">
        <f aca="false">MAX(0,Engagement_Register!$AM$25-Y321)*Engagement_Register!$AE$25*Assumptions!Y$194*(1-Engagement_Register!$AS$25)</f>
        <v>0</v>
      </c>
      <c r="Z331" s="62" t="n">
        <f aca="false">MAX(0,Engagement_Register!$AM$25-Z321)*Engagement_Register!$AE$25*Assumptions!Z$194*(1-Engagement_Register!$AS$25)</f>
        <v>0</v>
      </c>
      <c r="AA331" s="62" t="n">
        <f aca="false">MAX(0,Engagement_Register!$AM$25-AA321)*Engagement_Register!$AE$25*Assumptions!AA$194*(1-Engagement_Register!$AS$25)</f>
        <v>0</v>
      </c>
      <c r="AB331" s="62" t="n">
        <f aca="false">MAX(0,Engagement_Register!$AM$25-AB321)*Engagement_Register!$AE$25*Assumptions!AB$194*(1-Engagement_Register!$AS$25)</f>
        <v>0</v>
      </c>
    </row>
    <row r="333" customFormat="false" ht="15" hidden="false" customHeight="false" outlineLevel="0" collapsed="false">
      <c r="A333" s="23" t="s">
        <v>885</v>
      </c>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row>
    <row r="334" customFormat="false" ht="15" hidden="false" customHeight="false" outlineLevel="0" collapsed="false">
      <c r="A334" s="29" t="s">
        <v>736</v>
      </c>
      <c r="B334" s="60" t="s">
        <v>832</v>
      </c>
      <c r="C334" s="66" t="n">
        <f aca="false">P334</f>
        <v>561.91935483871</v>
      </c>
      <c r="D334" s="66" t="n">
        <f aca="false">AB334</f>
        <v>724.5</v>
      </c>
      <c r="E334" s="67" t="n">
        <f aca="false">Engagement_Register!$T$26+E28</f>
        <v>0</v>
      </c>
      <c r="F334" s="72" t="n">
        <f aca="false">E334+F28</f>
        <v>0</v>
      </c>
      <c r="G334" s="72" t="n">
        <f aca="false">F334+G28</f>
        <v>0</v>
      </c>
      <c r="H334" s="72" t="n">
        <f aca="false">G334+H28</f>
        <v>0</v>
      </c>
      <c r="I334" s="72" t="n">
        <f aca="false">H334+I28</f>
        <v>0</v>
      </c>
      <c r="J334" s="72" t="n">
        <f aca="false">I334+J28</f>
        <v>0</v>
      </c>
      <c r="K334" s="72" t="n">
        <f aca="false">J334+K28</f>
        <v>0</v>
      </c>
      <c r="L334" s="72" t="n">
        <f aca="false">K334+L28</f>
        <v>0</v>
      </c>
      <c r="M334" s="72" t="n">
        <f aca="false">L334+M28</f>
        <v>0</v>
      </c>
      <c r="N334" s="72" t="n">
        <f aca="false">M334+N28</f>
        <v>186.967741935484</v>
      </c>
      <c r="O334" s="72" t="n">
        <f aca="false">N334+O28</f>
        <v>371.903225806452</v>
      </c>
      <c r="P334" s="72" t="n">
        <f aca="false">O334+P28</f>
        <v>561.91935483871</v>
      </c>
      <c r="Q334" s="72" t="n">
        <f aca="false">P334+Q28</f>
        <v>724.5</v>
      </c>
      <c r="R334" s="72" t="n">
        <f aca="false">Q334+R28</f>
        <v>724.5</v>
      </c>
      <c r="S334" s="72" t="n">
        <f aca="false">R334+S28</f>
        <v>724.5</v>
      </c>
      <c r="T334" s="72" t="n">
        <f aca="false">S334+T28</f>
        <v>724.5</v>
      </c>
      <c r="U334" s="72" t="n">
        <f aca="false">T334+U28</f>
        <v>724.5</v>
      </c>
      <c r="V334" s="72" t="n">
        <f aca="false">U334+V28</f>
        <v>724.5</v>
      </c>
      <c r="W334" s="72" t="n">
        <f aca="false">V334+W28</f>
        <v>724.5</v>
      </c>
      <c r="X334" s="72" t="n">
        <f aca="false">W334+X28</f>
        <v>724.5</v>
      </c>
      <c r="Y334" s="72" t="n">
        <f aca="false">X334+Y28</f>
        <v>724.5</v>
      </c>
      <c r="Z334" s="72" t="n">
        <f aca="false">Y334+Z28</f>
        <v>724.5</v>
      </c>
      <c r="AA334" s="72" t="n">
        <f aca="false">Z334+AA28</f>
        <v>724.5</v>
      </c>
      <c r="AB334" s="72" t="n">
        <f aca="false">AA334+AB28</f>
        <v>724.5</v>
      </c>
    </row>
    <row r="335" customFormat="false" ht="15" hidden="false" customHeight="false" outlineLevel="0" collapsed="false">
      <c r="A335" s="29" t="s">
        <v>852</v>
      </c>
      <c r="B335" s="60" t="s">
        <v>853</v>
      </c>
      <c r="C335" s="66" t="n">
        <f aca="false">P335</f>
        <v>724.5</v>
      </c>
      <c r="D335" s="66" t="n">
        <f aca="false">AB335</f>
        <v>724.5</v>
      </c>
      <c r="E335" s="67" t="n">
        <f aca="false">IF(E$5="A",Engagement_Register!$AM$26,Engagement_Register!$AM$26)</f>
        <v>724.5</v>
      </c>
      <c r="F335" s="67" t="n">
        <f aca="false">IF(F$5="A",Engagement_Register!$AM$26,Engagement_Register!$AM$26)</f>
        <v>724.5</v>
      </c>
      <c r="G335" s="67" t="n">
        <f aca="false">IF(G$5="A",Engagement_Register!$AM$26,Engagement_Register!$AM$26)</f>
        <v>724.5</v>
      </c>
      <c r="H335" s="67" t="n">
        <f aca="false">IF(H$5="A",Engagement_Register!$AM$26,Engagement_Register!$AM$26)</f>
        <v>724.5</v>
      </c>
      <c r="I335" s="67" t="n">
        <f aca="false">IF(I$5="A",Engagement_Register!$AM$26,Engagement_Register!$AM$26)</f>
        <v>724.5</v>
      </c>
      <c r="J335" s="67" t="n">
        <f aca="false">IF(J$5="A",Engagement_Register!$AM$26,Engagement_Register!$AM$26)</f>
        <v>724.5</v>
      </c>
      <c r="K335" s="67" t="n">
        <f aca="false">IF(K$5="A",Engagement_Register!$AM$26,Engagement_Register!$AM$26)</f>
        <v>724.5</v>
      </c>
      <c r="L335" s="67" t="n">
        <f aca="false">IF(L$5="A",Engagement_Register!$AM$26,Engagement_Register!$AM$26)</f>
        <v>724.5</v>
      </c>
      <c r="M335" s="67" t="n">
        <f aca="false">IF(M$5="A",Engagement_Register!$AM$26,Engagement_Register!$AM$26)</f>
        <v>724.5</v>
      </c>
      <c r="N335" s="67" t="n">
        <f aca="false">IF(N$5="A",Engagement_Register!$AM$26,Engagement_Register!$AM$26)</f>
        <v>724.5</v>
      </c>
      <c r="O335" s="67" t="n">
        <f aca="false">IF(O$5="A",Engagement_Register!$AM$26,Engagement_Register!$AM$26)</f>
        <v>724.5</v>
      </c>
      <c r="P335" s="67" t="n">
        <f aca="false">IF(P$5="A",Engagement_Register!$AM$26,Engagement_Register!$AM$26)</f>
        <v>724.5</v>
      </c>
      <c r="Q335" s="67" t="n">
        <f aca="false">IF(Q$5="A",Engagement_Register!$AM$26,Engagement_Register!$AM$26)</f>
        <v>724.5</v>
      </c>
      <c r="R335" s="67" t="n">
        <f aca="false">IF(R$5="A",Engagement_Register!$AM$26,Engagement_Register!$AM$26)</f>
        <v>724.5</v>
      </c>
      <c r="S335" s="67" t="n">
        <f aca="false">IF(S$5="A",Engagement_Register!$AM$26,Engagement_Register!$AM$26)</f>
        <v>724.5</v>
      </c>
      <c r="T335" s="67" t="n">
        <f aca="false">IF(T$5="A",Engagement_Register!$AM$26,Engagement_Register!$AM$26)</f>
        <v>724.5</v>
      </c>
      <c r="U335" s="67" t="n">
        <f aca="false">IF(U$5="A",Engagement_Register!$AM$26,Engagement_Register!$AM$26)</f>
        <v>724.5</v>
      </c>
      <c r="V335" s="67" t="n">
        <f aca="false">IF(V$5="A",Engagement_Register!$AM$26,Engagement_Register!$AM$26)</f>
        <v>724.5</v>
      </c>
      <c r="W335" s="67" t="n">
        <f aca="false">IF(W$5="A",Engagement_Register!$AM$26,Engagement_Register!$AM$26)</f>
        <v>724.5</v>
      </c>
      <c r="X335" s="67" t="n">
        <f aca="false">IF(X$5="A",Engagement_Register!$AM$26,Engagement_Register!$AM$26)</f>
        <v>724.5</v>
      </c>
      <c r="Y335" s="67" t="n">
        <f aca="false">IF(Y$5="A",Engagement_Register!$AM$26,Engagement_Register!$AM$26)</f>
        <v>724.5</v>
      </c>
      <c r="Z335" s="67" t="n">
        <f aca="false">IF(Z$5="A",Engagement_Register!$AM$26,Engagement_Register!$AM$26)</f>
        <v>724.5</v>
      </c>
      <c r="AA335" s="67" t="n">
        <f aca="false">IF(AA$5="A",Engagement_Register!$AM$26,Engagement_Register!$AM$26)</f>
        <v>724.5</v>
      </c>
      <c r="AB335" s="67" t="n">
        <f aca="false">IF(AB$5="A",Engagement_Register!$AM$26,Engagement_Register!$AM$26)</f>
        <v>724.5</v>
      </c>
    </row>
    <row r="336" customFormat="false" ht="15" hidden="false" customHeight="false" outlineLevel="0" collapsed="false">
      <c r="A336" s="29" t="s">
        <v>854</v>
      </c>
      <c r="B336" s="60" t="s">
        <v>855</v>
      </c>
      <c r="C336" s="63" t="n">
        <f aca="false">P336</f>
        <v>0.775596072931276</v>
      </c>
      <c r="D336" s="63" t="n">
        <f aca="false">AB336</f>
        <v>1</v>
      </c>
      <c r="E336" s="64" t="n">
        <f aca="false">IF(E335&lt;=0,0,MIN(1,E334/E335))</f>
        <v>0</v>
      </c>
      <c r="F336" s="64" t="n">
        <f aca="false">IF(F335&lt;=0,0,MIN(1,F334/F335))</f>
        <v>0</v>
      </c>
      <c r="G336" s="64" t="n">
        <f aca="false">IF(G335&lt;=0,0,MIN(1,G334/G335))</f>
        <v>0</v>
      </c>
      <c r="H336" s="64" t="n">
        <f aca="false">IF(H335&lt;=0,0,MIN(1,H334/H335))</f>
        <v>0</v>
      </c>
      <c r="I336" s="64" t="n">
        <f aca="false">IF(I335&lt;=0,0,MIN(1,I334/I335))</f>
        <v>0</v>
      </c>
      <c r="J336" s="64" t="n">
        <f aca="false">IF(J335&lt;=0,0,MIN(1,J334/J335))</f>
        <v>0</v>
      </c>
      <c r="K336" s="64" t="n">
        <f aca="false">IF(K335&lt;=0,0,MIN(1,K334/K335))</f>
        <v>0</v>
      </c>
      <c r="L336" s="64" t="n">
        <f aca="false">IF(L335&lt;=0,0,MIN(1,L334/L335))</f>
        <v>0</v>
      </c>
      <c r="M336" s="64" t="n">
        <f aca="false">IF(M335&lt;=0,0,MIN(1,M334/M335))</f>
        <v>0</v>
      </c>
      <c r="N336" s="64" t="n">
        <f aca="false">IF(N335&lt;=0,0,MIN(1,N334/N335))</f>
        <v>0.258064516129032</v>
      </c>
      <c r="O336" s="64" t="n">
        <f aca="false">IF(O335&lt;=0,0,MIN(1,O334/O335))</f>
        <v>0.513323983169705</v>
      </c>
      <c r="P336" s="64" t="n">
        <f aca="false">IF(P335&lt;=0,0,MIN(1,P334/P335))</f>
        <v>0.775596072931276</v>
      </c>
      <c r="Q336" s="64" t="n">
        <f aca="false">IF(Q335&lt;=0,0,MIN(1,Q334/Q335))</f>
        <v>1</v>
      </c>
      <c r="R336" s="64" t="n">
        <f aca="false">IF(R335&lt;=0,0,MIN(1,R334/R335))</f>
        <v>1</v>
      </c>
      <c r="S336" s="64" t="n">
        <f aca="false">IF(S335&lt;=0,0,MIN(1,S334/S335))</f>
        <v>1</v>
      </c>
      <c r="T336" s="64" t="n">
        <f aca="false">IF(T335&lt;=0,0,MIN(1,T334/T335))</f>
        <v>1</v>
      </c>
      <c r="U336" s="64" t="n">
        <f aca="false">IF(U335&lt;=0,0,MIN(1,U334/U335))</f>
        <v>1</v>
      </c>
      <c r="V336" s="64" t="n">
        <f aca="false">IF(V335&lt;=0,0,MIN(1,V334/V335))</f>
        <v>1</v>
      </c>
      <c r="W336" s="64" t="n">
        <f aca="false">IF(W335&lt;=0,0,MIN(1,W334/W335))</f>
        <v>1</v>
      </c>
      <c r="X336" s="64" t="n">
        <f aca="false">IF(X335&lt;=0,0,MIN(1,X334/X335))</f>
        <v>1</v>
      </c>
      <c r="Y336" s="64" t="n">
        <f aca="false">IF(Y335&lt;=0,0,MIN(1,Y334/Y335))</f>
        <v>1</v>
      </c>
      <c r="Z336" s="64" t="n">
        <f aca="false">IF(Z335&lt;=0,0,MIN(1,Z334/Z335))</f>
        <v>1</v>
      </c>
      <c r="AA336" s="64" t="n">
        <f aca="false">IF(AA335&lt;=0,0,MIN(1,AA334/AA335))</f>
        <v>1</v>
      </c>
      <c r="AB336" s="64" t="n">
        <f aca="false">IF(AB335&lt;=0,0,MIN(1,AB334/AB335))</f>
        <v>1</v>
      </c>
    </row>
    <row r="337" customFormat="false" ht="15" hidden="false" customHeight="false" outlineLevel="0" collapsed="false">
      <c r="A337" s="29" t="s">
        <v>833</v>
      </c>
      <c r="B337" s="60" t="s">
        <v>834</v>
      </c>
      <c r="C337" s="61" t="n">
        <f aca="false">SUM(E337:P337)</f>
        <v>116092.538709677</v>
      </c>
      <c r="D337" s="61" t="n">
        <f aca="false">SUM(Q337:AB337)</f>
        <v>34932.7277419355</v>
      </c>
      <c r="E337" s="62" t="n">
        <f aca="false">E28*Engagement_Register!$AD$26*Assumptions!E$194</f>
        <v>0</v>
      </c>
      <c r="F337" s="62" t="n">
        <f aca="false">F28*Engagement_Register!$AD$26*Assumptions!F$194</f>
        <v>0</v>
      </c>
      <c r="G337" s="62" t="n">
        <f aca="false">G28*Engagement_Register!$AD$26*Assumptions!G$194</f>
        <v>0</v>
      </c>
      <c r="H337" s="62" t="n">
        <f aca="false">H28*Engagement_Register!$AD$26*Assumptions!H$194</f>
        <v>0</v>
      </c>
      <c r="I337" s="62" t="n">
        <f aca="false">I28*Engagement_Register!$AD$26*Assumptions!I$194</f>
        <v>0</v>
      </c>
      <c r="J337" s="62" t="n">
        <f aca="false">J28*Engagement_Register!$AD$26*Assumptions!J$194</f>
        <v>0</v>
      </c>
      <c r="K337" s="62" t="n">
        <f aca="false">K28*Engagement_Register!$AD$26*Assumptions!K$194</f>
        <v>0</v>
      </c>
      <c r="L337" s="62" t="n">
        <f aca="false">L28*Engagement_Register!$AD$26*Assumptions!L$194</f>
        <v>0</v>
      </c>
      <c r="M337" s="62" t="n">
        <f aca="false">M28*Engagement_Register!$AD$26*Assumptions!M$194</f>
        <v>0</v>
      </c>
      <c r="N337" s="62" t="n">
        <f aca="false">N28*Engagement_Register!$AD$26*Assumptions!N$194</f>
        <v>38627.535483871</v>
      </c>
      <c r="O337" s="62" t="n">
        <f aca="false">O28*Engagement_Register!$AD$26*Assumptions!O$194</f>
        <v>38207.6709677419</v>
      </c>
      <c r="P337" s="62" t="n">
        <f aca="false">P28*Engagement_Register!$AD$26*Assumptions!P$194</f>
        <v>39257.3322580645</v>
      </c>
      <c r="Q337" s="62" t="n">
        <f aca="false">Q28*Engagement_Register!$AD$26*Assumptions!Q$194</f>
        <v>34932.7277419355</v>
      </c>
      <c r="R337" s="62" t="n">
        <f aca="false">R28*Engagement_Register!$AD$26*Assumptions!R$194</f>
        <v>0</v>
      </c>
      <c r="S337" s="62" t="n">
        <f aca="false">S28*Engagement_Register!$AD$26*Assumptions!S$194</f>
        <v>0</v>
      </c>
      <c r="T337" s="62" t="n">
        <f aca="false">T28*Engagement_Register!$AD$26*Assumptions!T$194</f>
        <v>0</v>
      </c>
      <c r="U337" s="62" t="n">
        <f aca="false">U28*Engagement_Register!$AD$26*Assumptions!U$194</f>
        <v>0</v>
      </c>
      <c r="V337" s="62" t="n">
        <f aca="false">V28*Engagement_Register!$AD$26*Assumptions!V$194</f>
        <v>0</v>
      </c>
      <c r="W337" s="62" t="n">
        <f aca="false">W28*Engagement_Register!$AD$26*Assumptions!W$194</f>
        <v>0</v>
      </c>
      <c r="X337" s="62" t="n">
        <f aca="false">X28*Engagement_Register!$AD$26*Assumptions!X$194</f>
        <v>0</v>
      </c>
      <c r="Y337" s="62" t="n">
        <f aca="false">Y28*Engagement_Register!$AD$26*Assumptions!Y$194</f>
        <v>0</v>
      </c>
      <c r="Z337" s="62" t="n">
        <f aca="false">Z28*Engagement_Register!$AD$26*Assumptions!Z$194</f>
        <v>0</v>
      </c>
      <c r="AA337" s="62" t="n">
        <f aca="false">AA28*Engagement_Register!$AD$26*Assumptions!AA$194</f>
        <v>0</v>
      </c>
      <c r="AB337" s="62" t="n">
        <f aca="false">AB28*Engagement_Register!$AD$26*Assumptions!AB$194</f>
        <v>0</v>
      </c>
    </row>
    <row r="338" customFormat="false" ht="15" hidden="false" customHeight="false" outlineLevel="0" collapsed="false">
      <c r="A338" s="29" t="s">
        <v>835</v>
      </c>
      <c r="B338" s="60" t="s">
        <v>865</v>
      </c>
      <c r="C338" s="61" t="n">
        <f aca="false">SUM(E338:P338)</f>
        <v>114012.622720898</v>
      </c>
      <c r="D338" s="61" t="n">
        <f aca="false">SUM(Q338:AB338)</f>
        <v>32987.3772791024</v>
      </c>
      <c r="E338" s="62" t="n">
        <f aca="false">E28*Engagement_Register!$AE$26</f>
        <v>0</v>
      </c>
      <c r="F338" s="62" t="n">
        <f aca="false">F28*Engagement_Register!$AE$26</f>
        <v>0</v>
      </c>
      <c r="G338" s="62" t="n">
        <f aca="false">G28*Engagement_Register!$AE$26</f>
        <v>0</v>
      </c>
      <c r="H338" s="62" t="n">
        <f aca="false">H28*Engagement_Register!$AE$26</f>
        <v>0</v>
      </c>
      <c r="I338" s="62" t="n">
        <f aca="false">I28*Engagement_Register!$AE$26</f>
        <v>0</v>
      </c>
      <c r="J338" s="62" t="n">
        <f aca="false">J28*Engagement_Register!$AE$26</f>
        <v>0</v>
      </c>
      <c r="K338" s="62" t="n">
        <f aca="false">K28*Engagement_Register!$AE$26</f>
        <v>0</v>
      </c>
      <c r="L338" s="62" t="n">
        <f aca="false">L28*Engagement_Register!$AE$26</f>
        <v>0</v>
      </c>
      <c r="M338" s="62" t="n">
        <f aca="false">M28*Engagement_Register!$AE$26</f>
        <v>0</v>
      </c>
      <c r="N338" s="62" t="n">
        <f aca="false">N28*Engagement_Register!$AE$26</f>
        <v>37935.4838709677</v>
      </c>
      <c r="O338" s="62" t="n">
        <f aca="false">O28*Engagement_Register!$AE$26</f>
        <v>37523.141654979</v>
      </c>
      <c r="P338" s="62" t="n">
        <f aca="false">P28*Engagement_Register!$AE$26</f>
        <v>38553.9971949509</v>
      </c>
      <c r="Q338" s="62" t="n">
        <f aca="false">Q28*Engagement_Register!$AE$26</f>
        <v>32987.3772791024</v>
      </c>
      <c r="R338" s="62" t="n">
        <f aca="false">R28*Engagement_Register!$AE$26</f>
        <v>0</v>
      </c>
      <c r="S338" s="62" t="n">
        <f aca="false">S28*Engagement_Register!$AE$26</f>
        <v>0</v>
      </c>
      <c r="T338" s="62" t="n">
        <f aca="false">T28*Engagement_Register!$AE$26</f>
        <v>0</v>
      </c>
      <c r="U338" s="62" t="n">
        <f aca="false">U28*Engagement_Register!$AE$26</f>
        <v>0</v>
      </c>
      <c r="V338" s="62" t="n">
        <f aca="false">V28*Engagement_Register!$AE$26</f>
        <v>0</v>
      </c>
      <c r="W338" s="62" t="n">
        <f aca="false">W28*Engagement_Register!$AE$26</f>
        <v>0</v>
      </c>
      <c r="X338" s="62" t="n">
        <f aca="false">X28*Engagement_Register!$AE$26</f>
        <v>0</v>
      </c>
      <c r="Y338" s="62" t="n">
        <f aca="false">Y28*Engagement_Register!$AE$26</f>
        <v>0</v>
      </c>
      <c r="Z338" s="62" t="n">
        <f aca="false">Z28*Engagement_Register!$AE$26</f>
        <v>0</v>
      </c>
      <c r="AA338" s="62" t="n">
        <f aca="false">AA28*Engagement_Register!$AE$26</f>
        <v>0</v>
      </c>
      <c r="AB338" s="62" t="n">
        <f aca="false">AB28*Engagement_Register!$AE$26</f>
        <v>0</v>
      </c>
    </row>
    <row r="339" customFormat="false" ht="15" hidden="false" customHeight="false" outlineLevel="0" collapsed="false">
      <c r="A339" s="29" t="s">
        <v>742</v>
      </c>
      <c r="B339" s="60" t="s">
        <v>866</v>
      </c>
      <c r="C339" s="61" t="n">
        <f aca="false">P339</f>
        <v>108583.450210379</v>
      </c>
      <c r="D339" s="61" t="n">
        <f aca="false">AB339</f>
        <v>140000</v>
      </c>
      <c r="E339" s="62" t="n">
        <f aca="false">IF(E$5="A",Engagement_Register!$U$26+0,Engagement_Register!$AP$26*E336)</f>
        <v>0</v>
      </c>
      <c r="F339" s="62" t="n">
        <f aca="false">IF(F$5="A",E339+0,Engagement_Register!$AP$26*F336)</f>
        <v>0</v>
      </c>
      <c r="G339" s="62" t="n">
        <f aca="false">IF(G$5="A",F339+0,Engagement_Register!$AP$26*G336)</f>
        <v>0</v>
      </c>
      <c r="H339" s="62" t="n">
        <f aca="false">IF(H$5="A",G339+0,Engagement_Register!$AP$26*H336)</f>
        <v>0</v>
      </c>
      <c r="I339" s="62" t="n">
        <f aca="false">IF(I$5="A",H339+0,Engagement_Register!$AP$26*I336)</f>
        <v>0</v>
      </c>
      <c r="J339" s="62" t="n">
        <f aca="false">IF(J$5="A",I339+0,Engagement_Register!$AP$26*J336)</f>
        <v>0</v>
      </c>
      <c r="K339" s="62" t="n">
        <f aca="false">IF(K$5="A",J339+0,Engagement_Register!$AP$26*K336)</f>
        <v>0</v>
      </c>
      <c r="L339" s="62" t="n">
        <f aca="false">IF(L$5="A",K339+0,Engagement_Register!$AP$26*L336)</f>
        <v>0</v>
      </c>
      <c r="M339" s="62" t="n">
        <f aca="false">IF(M$5="A",L339+0,Engagement_Register!$AP$26*M336)</f>
        <v>0</v>
      </c>
      <c r="N339" s="62" t="n">
        <f aca="false">IF(N$5="A",M339+0,Engagement_Register!$AP$26*N336)</f>
        <v>36129.0322580645</v>
      </c>
      <c r="O339" s="62" t="n">
        <f aca="false">IF(O$5="A",N339+0,Engagement_Register!$AP$26*O336)</f>
        <v>71865.3576437588</v>
      </c>
      <c r="P339" s="62" t="n">
        <f aca="false">IF(P$5="A",O339+0,Engagement_Register!$AP$26*P336)</f>
        <v>108583.450210379</v>
      </c>
      <c r="Q339" s="62" t="n">
        <f aca="false">IF(Q$5="A",P339+0,Engagement_Register!$AP$26*Q336)</f>
        <v>140000</v>
      </c>
      <c r="R339" s="62" t="n">
        <f aca="false">IF(R$5="A",Q339+0,Engagement_Register!$AP$26*R336)</f>
        <v>140000</v>
      </c>
      <c r="S339" s="62" t="n">
        <f aca="false">IF(S$5="A",R339+0,Engagement_Register!$AP$26*S336)</f>
        <v>140000</v>
      </c>
      <c r="T339" s="62" t="n">
        <f aca="false">IF(T$5="A",S339+0,Engagement_Register!$AP$26*T336)</f>
        <v>140000</v>
      </c>
      <c r="U339" s="62" t="n">
        <f aca="false">IF(U$5="A",T339+0,Engagement_Register!$AP$26*U336)</f>
        <v>140000</v>
      </c>
      <c r="V339" s="62" t="n">
        <f aca="false">IF(V$5="A",U339+0,Engagement_Register!$AP$26*V336)</f>
        <v>140000</v>
      </c>
      <c r="W339" s="62" t="n">
        <f aca="false">IF(W$5="A",V339+0,Engagement_Register!$AP$26*W336)</f>
        <v>140000</v>
      </c>
      <c r="X339" s="62" t="n">
        <f aca="false">IF(X$5="A",W339+0,Engagement_Register!$AP$26*X336)</f>
        <v>140000</v>
      </c>
      <c r="Y339" s="62" t="n">
        <f aca="false">IF(Y$5="A",X339+0,Engagement_Register!$AP$26*Y336)</f>
        <v>140000</v>
      </c>
      <c r="Z339" s="62" t="n">
        <f aca="false">IF(Z$5="A",Y339+0,Engagement_Register!$AP$26*Z336)</f>
        <v>140000</v>
      </c>
      <c r="AA339" s="62" t="n">
        <f aca="false">IF(AA$5="A",Z339+0,Engagement_Register!$AP$26*AA336)</f>
        <v>140000</v>
      </c>
      <c r="AB339" s="62" t="n">
        <f aca="false">IF(AB$5="A",AA339+0,Engagement_Register!$AP$26*AB336)</f>
        <v>140000</v>
      </c>
    </row>
    <row r="340" customFormat="false" ht="15" hidden="false" customHeight="false" outlineLevel="0" collapsed="false">
      <c r="A340" s="68" t="s">
        <v>349</v>
      </c>
      <c r="B340" s="69" t="s">
        <v>859</v>
      </c>
      <c r="C340" s="70" t="n">
        <f aca="false">SUM(E340:P340)</f>
        <v>108583.450210379</v>
      </c>
      <c r="D340" s="70" t="n">
        <f aca="false">SUM(Q340:AB340)</f>
        <v>31416.5497896213</v>
      </c>
      <c r="E340" s="74" t="n">
        <f aca="false">E339-Engagement_Register!$U$26</f>
        <v>0</v>
      </c>
      <c r="F340" s="70" t="n">
        <f aca="false">F339-E339</f>
        <v>0</v>
      </c>
      <c r="G340" s="70" t="n">
        <f aca="false">G339-F339</f>
        <v>0</v>
      </c>
      <c r="H340" s="70" t="n">
        <f aca="false">H339-G339</f>
        <v>0</v>
      </c>
      <c r="I340" s="70" t="n">
        <f aca="false">I339-H339</f>
        <v>0</v>
      </c>
      <c r="J340" s="70" t="n">
        <f aca="false">J339-I339</f>
        <v>0</v>
      </c>
      <c r="K340" s="70" t="n">
        <f aca="false">K339-J339</f>
        <v>0</v>
      </c>
      <c r="L340" s="70" t="n">
        <f aca="false">L339-K339</f>
        <v>0</v>
      </c>
      <c r="M340" s="70" t="n">
        <f aca="false">M339-L339</f>
        <v>0</v>
      </c>
      <c r="N340" s="70" t="n">
        <f aca="false">N339-M339</f>
        <v>36129.0322580645</v>
      </c>
      <c r="O340" s="70" t="n">
        <f aca="false">O339-N339</f>
        <v>35736.3253856943</v>
      </c>
      <c r="P340" s="70" t="n">
        <f aca="false">P339-O339</f>
        <v>36718.0925666199</v>
      </c>
      <c r="Q340" s="70" t="n">
        <f aca="false">Q339-P339</f>
        <v>31416.5497896213</v>
      </c>
      <c r="R340" s="70" t="n">
        <f aca="false">R339-Q339</f>
        <v>0</v>
      </c>
      <c r="S340" s="70" t="n">
        <f aca="false">S339-R339</f>
        <v>0</v>
      </c>
      <c r="T340" s="70" t="n">
        <f aca="false">T339-S339</f>
        <v>0</v>
      </c>
      <c r="U340" s="70" t="n">
        <f aca="false">U339-T339</f>
        <v>0</v>
      </c>
      <c r="V340" s="70" t="n">
        <f aca="false">V339-U339</f>
        <v>0</v>
      </c>
      <c r="W340" s="70" t="n">
        <f aca="false">W339-V339</f>
        <v>0</v>
      </c>
      <c r="X340" s="70" t="n">
        <f aca="false">X339-W339</f>
        <v>0</v>
      </c>
      <c r="Y340" s="70" t="n">
        <f aca="false">Y339-X339</f>
        <v>0</v>
      </c>
      <c r="Z340" s="70" t="n">
        <f aca="false">Z339-Y339</f>
        <v>0</v>
      </c>
      <c r="AA340" s="70" t="n">
        <f aca="false">AA339-Z339</f>
        <v>0</v>
      </c>
      <c r="AB340" s="70" t="n">
        <f aca="false">AB339-AA339</f>
        <v>0</v>
      </c>
    </row>
    <row r="341" customFormat="false" ht="15" hidden="false" customHeight="false" outlineLevel="0" collapsed="false">
      <c r="A341" s="29" t="s">
        <v>867</v>
      </c>
      <c r="B341" s="60" t="s">
        <v>868</v>
      </c>
      <c r="C341" s="61" t="n">
        <f aca="false">P341</f>
        <v>98000</v>
      </c>
      <c r="D341" s="61" t="n">
        <f aca="false">AB341</f>
        <v>140000</v>
      </c>
      <c r="E341" s="62" t="n">
        <f aca="false">Engagement_Register!$AP$26*(Assumptions!$C$146*(Assumptions!E$187&gt;=Engagement_Register!$AG$26)+Assumptions!$C$147*(Assumptions!E$187&gt;=Engagement_Register!$AI$26)+Assumptions!$C$148*(Assumptions!E$187&gt;=Engagement_Register!$AH$26))</f>
        <v>0</v>
      </c>
      <c r="F341" s="62" t="n">
        <f aca="false">Engagement_Register!$AP$26*(Assumptions!$C$146*(Assumptions!F$187&gt;=Engagement_Register!$AG$26)+Assumptions!$C$147*(Assumptions!F$187&gt;=Engagement_Register!$AI$26)+Assumptions!$C$148*(Assumptions!F$187&gt;=Engagement_Register!$AH$26))</f>
        <v>0</v>
      </c>
      <c r="G341" s="62" t="n">
        <f aca="false">Engagement_Register!$AP$26*(Assumptions!$C$146*(Assumptions!G$187&gt;=Engagement_Register!$AG$26)+Assumptions!$C$147*(Assumptions!G$187&gt;=Engagement_Register!$AI$26)+Assumptions!$C$148*(Assumptions!G$187&gt;=Engagement_Register!$AH$26))</f>
        <v>0</v>
      </c>
      <c r="H341" s="62" t="n">
        <f aca="false">Engagement_Register!$AP$26*(Assumptions!$C$146*(Assumptions!H$187&gt;=Engagement_Register!$AG$26)+Assumptions!$C$147*(Assumptions!H$187&gt;=Engagement_Register!$AI$26)+Assumptions!$C$148*(Assumptions!H$187&gt;=Engagement_Register!$AH$26))</f>
        <v>0</v>
      </c>
      <c r="I341" s="62" t="n">
        <f aca="false">Engagement_Register!$AP$26*(Assumptions!$C$146*(Assumptions!I$187&gt;=Engagement_Register!$AG$26)+Assumptions!$C$147*(Assumptions!I$187&gt;=Engagement_Register!$AI$26)+Assumptions!$C$148*(Assumptions!I$187&gt;=Engagement_Register!$AH$26))</f>
        <v>0</v>
      </c>
      <c r="J341" s="62" t="n">
        <f aca="false">Engagement_Register!$AP$26*(Assumptions!$C$146*(Assumptions!J$187&gt;=Engagement_Register!$AG$26)+Assumptions!$C$147*(Assumptions!J$187&gt;=Engagement_Register!$AI$26)+Assumptions!$C$148*(Assumptions!J$187&gt;=Engagement_Register!$AH$26))</f>
        <v>0</v>
      </c>
      <c r="K341" s="62" t="n">
        <f aca="false">Engagement_Register!$AP$26*(Assumptions!$C$146*(Assumptions!K$187&gt;=Engagement_Register!$AG$26)+Assumptions!$C$147*(Assumptions!K$187&gt;=Engagement_Register!$AI$26)+Assumptions!$C$148*(Assumptions!K$187&gt;=Engagement_Register!$AH$26))</f>
        <v>0</v>
      </c>
      <c r="L341" s="62" t="n">
        <f aca="false">Engagement_Register!$AP$26*(Assumptions!$C$146*(Assumptions!L$187&gt;=Engagement_Register!$AG$26)+Assumptions!$C$147*(Assumptions!L$187&gt;=Engagement_Register!$AI$26)+Assumptions!$C$148*(Assumptions!L$187&gt;=Engagement_Register!$AH$26))</f>
        <v>0</v>
      </c>
      <c r="M341" s="62" t="n">
        <f aca="false">Engagement_Register!$AP$26*(Assumptions!$C$146*(Assumptions!M$187&gt;=Engagement_Register!$AG$26)+Assumptions!$C$147*(Assumptions!M$187&gt;=Engagement_Register!$AI$26)+Assumptions!$C$148*(Assumptions!M$187&gt;=Engagement_Register!$AH$26))</f>
        <v>0</v>
      </c>
      <c r="N341" s="62" t="n">
        <f aca="false">Engagement_Register!$AP$26*(Assumptions!$C$146*(Assumptions!N$187&gt;=Engagement_Register!$AG$26)+Assumptions!$C$147*(Assumptions!N$187&gt;=Engagement_Register!$AI$26)+Assumptions!$C$148*(Assumptions!N$187&gt;=Engagement_Register!$AH$26))</f>
        <v>42000</v>
      </c>
      <c r="O341" s="62" t="n">
        <f aca="false">Engagement_Register!$AP$26*(Assumptions!$C$146*(Assumptions!O$187&gt;=Engagement_Register!$AG$26)+Assumptions!$C$147*(Assumptions!O$187&gt;=Engagement_Register!$AI$26)+Assumptions!$C$148*(Assumptions!O$187&gt;=Engagement_Register!$AH$26))</f>
        <v>42000</v>
      </c>
      <c r="P341" s="62" t="n">
        <f aca="false">Engagement_Register!$AP$26*(Assumptions!$C$146*(Assumptions!P$187&gt;=Engagement_Register!$AG$26)+Assumptions!$C$147*(Assumptions!P$187&gt;=Engagement_Register!$AI$26)+Assumptions!$C$148*(Assumptions!P$187&gt;=Engagement_Register!$AH$26))</f>
        <v>98000</v>
      </c>
      <c r="Q341" s="62" t="n">
        <f aca="false">Engagement_Register!$AP$26*(Assumptions!$C$146*(Assumptions!Q$187&gt;=Engagement_Register!$AG$26)+Assumptions!$C$147*(Assumptions!Q$187&gt;=Engagement_Register!$AI$26)+Assumptions!$C$148*(Assumptions!Q$187&gt;=Engagement_Register!$AH$26))</f>
        <v>140000</v>
      </c>
      <c r="R341" s="62" t="n">
        <f aca="false">Engagement_Register!$AP$26*(Assumptions!$C$146*(Assumptions!R$187&gt;=Engagement_Register!$AG$26)+Assumptions!$C$147*(Assumptions!R$187&gt;=Engagement_Register!$AI$26)+Assumptions!$C$148*(Assumptions!R$187&gt;=Engagement_Register!$AH$26))</f>
        <v>140000</v>
      </c>
      <c r="S341" s="62" t="n">
        <f aca="false">Engagement_Register!$AP$26*(Assumptions!$C$146*(Assumptions!S$187&gt;=Engagement_Register!$AG$26)+Assumptions!$C$147*(Assumptions!S$187&gt;=Engagement_Register!$AI$26)+Assumptions!$C$148*(Assumptions!S$187&gt;=Engagement_Register!$AH$26))</f>
        <v>140000</v>
      </c>
      <c r="T341" s="62" t="n">
        <f aca="false">Engagement_Register!$AP$26*(Assumptions!$C$146*(Assumptions!T$187&gt;=Engagement_Register!$AG$26)+Assumptions!$C$147*(Assumptions!T$187&gt;=Engagement_Register!$AI$26)+Assumptions!$C$148*(Assumptions!T$187&gt;=Engagement_Register!$AH$26))</f>
        <v>140000</v>
      </c>
      <c r="U341" s="62" t="n">
        <f aca="false">Engagement_Register!$AP$26*(Assumptions!$C$146*(Assumptions!U$187&gt;=Engagement_Register!$AG$26)+Assumptions!$C$147*(Assumptions!U$187&gt;=Engagement_Register!$AI$26)+Assumptions!$C$148*(Assumptions!U$187&gt;=Engagement_Register!$AH$26))</f>
        <v>140000</v>
      </c>
      <c r="V341" s="62" t="n">
        <f aca="false">Engagement_Register!$AP$26*(Assumptions!$C$146*(Assumptions!V$187&gt;=Engagement_Register!$AG$26)+Assumptions!$C$147*(Assumptions!V$187&gt;=Engagement_Register!$AI$26)+Assumptions!$C$148*(Assumptions!V$187&gt;=Engagement_Register!$AH$26))</f>
        <v>140000</v>
      </c>
      <c r="W341" s="62" t="n">
        <f aca="false">Engagement_Register!$AP$26*(Assumptions!$C$146*(Assumptions!W$187&gt;=Engagement_Register!$AG$26)+Assumptions!$C$147*(Assumptions!W$187&gt;=Engagement_Register!$AI$26)+Assumptions!$C$148*(Assumptions!W$187&gt;=Engagement_Register!$AH$26))</f>
        <v>140000</v>
      </c>
      <c r="X341" s="62" t="n">
        <f aca="false">Engagement_Register!$AP$26*(Assumptions!$C$146*(Assumptions!X$187&gt;=Engagement_Register!$AG$26)+Assumptions!$C$147*(Assumptions!X$187&gt;=Engagement_Register!$AI$26)+Assumptions!$C$148*(Assumptions!X$187&gt;=Engagement_Register!$AH$26))</f>
        <v>140000</v>
      </c>
      <c r="Y341" s="62" t="n">
        <f aca="false">Engagement_Register!$AP$26*(Assumptions!$C$146*(Assumptions!Y$187&gt;=Engagement_Register!$AG$26)+Assumptions!$C$147*(Assumptions!Y$187&gt;=Engagement_Register!$AI$26)+Assumptions!$C$148*(Assumptions!Y$187&gt;=Engagement_Register!$AH$26))</f>
        <v>140000</v>
      </c>
      <c r="Z341" s="62" t="n">
        <f aca="false">Engagement_Register!$AP$26*(Assumptions!$C$146*(Assumptions!Z$187&gt;=Engagement_Register!$AG$26)+Assumptions!$C$147*(Assumptions!Z$187&gt;=Engagement_Register!$AI$26)+Assumptions!$C$148*(Assumptions!Z$187&gt;=Engagement_Register!$AH$26))</f>
        <v>140000</v>
      </c>
      <c r="AA341" s="62" t="n">
        <f aca="false">Engagement_Register!$AP$26*(Assumptions!$C$146*(Assumptions!AA$187&gt;=Engagement_Register!$AG$26)+Assumptions!$C$147*(Assumptions!AA$187&gt;=Engagement_Register!$AI$26)+Assumptions!$C$148*(Assumptions!AA$187&gt;=Engagement_Register!$AH$26))</f>
        <v>140000</v>
      </c>
      <c r="AB341" s="62" t="n">
        <f aca="false">Engagement_Register!$AP$26*(Assumptions!$C$146*(Assumptions!AB$187&gt;=Engagement_Register!$AG$26)+Assumptions!$C$147*(Assumptions!AB$187&gt;=Engagement_Register!$AI$26)+Assumptions!$C$148*(Assumptions!AB$187&gt;=Engagement_Register!$AH$26))</f>
        <v>140000</v>
      </c>
    </row>
    <row r="342" customFormat="false" ht="15" hidden="false" customHeight="false" outlineLevel="0" collapsed="false">
      <c r="A342" s="29" t="s">
        <v>838</v>
      </c>
      <c r="B342" s="60" t="s">
        <v>869</v>
      </c>
      <c r="C342" s="61" t="n">
        <f aca="false">SUM(E342:P342)</f>
        <v>98000</v>
      </c>
      <c r="D342" s="61" t="n">
        <f aca="false">SUM(Q342:AB342)</f>
        <v>42000</v>
      </c>
      <c r="E342" s="62" t="n">
        <f aca="false">IF(E$5="A",0,MAX(0,E341-Engagement_Register!$V$26))</f>
        <v>0</v>
      </c>
      <c r="F342" s="71" t="n">
        <f aca="false">IF(F$5="A",0,MAX(0,F341-E343))</f>
        <v>0</v>
      </c>
      <c r="G342" s="71" t="n">
        <f aca="false">IF(G$5="A",0,MAX(0,G341-F343))</f>
        <v>0</v>
      </c>
      <c r="H342" s="71" t="n">
        <f aca="false">IF(H$5="A",0,MAX(0,H341-G343))</f>
        <v>0</v>
      </c>
      <c r="I342" s="71" t="n">
        <f aca="false">IF(I$5="A",0,MAX(0,I341-H343))</f>
        <v>0</v>
      </c>
      <c r="J342" s="71" t="n">
        <f aca="false">IF(J$5="A",0,MAX(0,J341-I343))</f>
        <v>0</v>
      </c>
      <c r="K342" s="71" t="n">
        <f aca="false">IF(K$5="A",0,MAX(0,K341-J343))</f>
        <v>0</v>
      </c>
      <c r="L342" s="71" t="n">
        <f aca="false">IF(L$5="A",0,MAX(0,L341-K343))</f>
        <v>0</v>
      </c>
      <c r="M342" s="71" t="n">
        <f aca="false">IF(M$5="A",0,MAX(0,M341-L343))</f>
        <v>0</v>
      </c>
      <c r="N342" s="71" t="n">
        <f aca="false">IF(N$5="A",0,MAX(0,N341-M343))</f>
        <v>42000</v>
      </c>
      <c r="O342" s="71" t="n">
        <f aca="false">IF(O$5="A",0,MAX(0,O341-N343))</f>
        <v>0</v>
      </c>
      <c r="P342" s="71" t="n">
        <f aca="false">IF(P$5="A",0,MAX(0,P341-O343))</f>
        <v>56000</v>
      </c>
      <c r="Q342" s="71" t="n">
        <f aca="false">IF(Q$5="A",0,MAX(0,Q341-P343))</f>
        <v>42000</v>
      </c>
      <c r="R342" s="71" t="n">
        <f aca="false">IF(R$5="A",0,MAX(0,R341-Q343))</f>
        <v>0</v>
      </c>
      <c r="S342" s="71" t="n">
        <f aca="false">IF(S$5="A",0,MAX(0,S341-R343))</f>
        <v>0</v>
      </c>
      <c r="T342" s="71" t="n">
        <f aca="false">IF(T$5="A",0,MAX(0,T341-S343))</f>
        <v>0</v>
      </c>
      <c r="U342" s="71" t="n">
        <f aca="false">IF(U$5="A",0,MAX(0,U341-T343))</f>
        <v>0</v>
      </c>
      <c r="V342" s="71" t="n">
        <f aca="false">IF(V$5="A",0,MAX(0,V341-U343))</f>
        <v>0</v>
      </c>
      <c r="W342" s="71" t="n">
        <f aca="false">IF(W$5="A",0,MAX(0,W341-V343))</f>
        <v>0</v>
      </c>
      <c r="X342" s="71" t="n">
        <f aca="false">IF(X$5="A",0,MAX(0,X341-W343))</f>
        <v>0</v>
      </c>
      <c r="Y342" s="71" t="n">
        <f aca="false">IF(Y$5="A",0,MAX(0,Y341-X343))</f>
        <v>0</v>
      </c>
      <c r="Z342" s="71" t="n">
        <f aca="false">IF(Z$5="A",0,MAX(0,Z341-Y343))</f>
        <v>0</v>
      </c>
      <c r="AA342" s="71" t="n">
        <f aca="false">IF(AA$5="A",0,MAX(0,AA341-Z343))</f>
        <v>0</v>
      </c>
      <c r="AB342" s="71" t="n">
        <f aca="false">IF(AB$5="A",0,MAX(0,AB341-AA343))</f>
        <v>0</v>
      </c>
    </row>
    <row r="343" customFormat="false" ht="15" hidden="false" customHeight="false" outlineLevel="0" collapsed="false">
      <c r="A343" s="29" t="s">
        <v>840</v>
      </c>
      <c r="B343" s="60"/>
      <c r="C343" s="61" t="n">
        <f aca="false">P343</f>
        <v>98000</v>
      </c>
      <c r="D343" s="61" t="n">
        <f aca="false">AB343</f>
        <v>140000</v>
      </c>
      <c r="E343" s="62" t="n">
        <f aca="false">Engagement_Register!$V$26+E342</f>
        <v>0</v>
      </c>
      <c r="F343" s="71" t="n">
        <f aca="false">E343+F342</f>
        <v>0</v>
      </c>
      <c r="G343" s="71" t="n">
        <f aca="false">F343+G342</f>
        <v>0</v>
      </c>
      <c r="H343" s="71" t="n">
        <f aca="false">G343+H342</f>
        <v>0</v>
      </c>
      <c r="I343" s="71" t="n">
        <f aca="false">H343+I342</f>
        <v>0</v>
      </c>
      <c r="J343" s="71" t="n">
        <f aca="false">I343+J342</f>
        <v>0</v>
      </c>
      <c r="K343" s="71" t="n">
        <f aca="false">J343+K342</f>
        <v>0</v>
      </c>
      <c r="L343" s="71" t="n">
        <f aca="false">K343+L342</f>
        <v>0</v>
      </c>
      <c r="M343" s="71" t="n">
        <f aca="false">L343+M342</f>
        <v>0</v>
      </c>
      <c r="N343" s="71" t="n">
        <f aca="false">M343+N342</f>
        <v>42000</v>
      </c>
      <c r="O343" s="71" t="n">
        <f aca="false">N343+O342</f>
        <v>42000</v>
      </c>
      <c r="P343" s="71" t="n">
        <f aca="false">O343+P342</f>
        <v>98000</v>
      </c>
      <c r="Q343" s="71" t="n">
        <f aca="false">P343+Q342</f>
        <v>140000</v>
      </c>
      <c r="R343" s="71" t="n">
        <f aca="false">Q343+R342</f>
        <v>140000</v>
      </c>
      <c r="S343" s="71" t="n">
        <f aca="false">R343+S342</f>
        <v>140000</v>
      </c>
      <c r="T343" s="71" t="n">
        <f aca="false">S343+T342</f>
        <v>140000</v>
      </c>
      <c r="U343" s="71" t="n">
        <f aca="false">T343+U342</f>
        <v>140000</v>
      </c>
      <c r="V343" s="71" t="n">
        <f aca="false">U343+V342</f>
        <v>140000</v>
      </c>
      <c r="W343" s="71" t="n">
        <f aca="false">V343+W342</f>
        <v>140000</v>
      </c>
      <c r="X343" s="71" t="n">
        <f aca="false">W343+X342</f>
        <v>140000</v>
      </c>
      <c r="Y343" s="71" t="n">
        <f aca="false">X343+Y342</f>
        <v>140000</v>
      </c>
      <c r="Z343" s="71" t="n">
        <f aca="false">Y343+Z342</f>
        <v>140000</v>
      </c>
      <c r="AA343" s="71" t="n">
        <f aca="false">Z343+AA342</f>
        <v>140000</v>
      </c>
      <c r="AB343" s="71" t="n">
        <f aca="false">AA343+AB342</f>
        <v>140000</v>
      </c>
    </row>
    <row r="344" customFormat="false" ht="15" hidden="false" customHeight="false" outlineLevel="0" collapsed="false">
      <c r="A344" s="29" t="s">
        <v>841</v>
      </c>
      <c r="B344" s="60" t="s">
        <v>842</v>
      </c>
      <c r="C344" s="61" t="n">
        <f aca="false">SUM(E344:P344)</f>
        <v>4495.35483870968</v>
      </c>
      <c r="D344" s="61" t="n">
        <f aca="false">SUM(Q344:AB344)</f>
        <v>1339.66451612903</v>
      </c>
      <c r="E344" s="62" t="n">
        <f aca="false">IF(E$5="A",0,E28*Engagement_Register!$N$26*Assumptions!E$195)</f>
        <v>0</v>
      </c>
      <c r="F344" s="62" t="n">
        <f aca="false">IF(F$5="A",0,F28*Engagement_Register!$N$26*Assumptions!F$195)</f>
        <v>0</v>
      </c>
      <c r="G344" s="62" t="n">
        <f aca="false">IF(G$5="A",0,G28*Engagement_Register!$N$26*Assumptions!G$195)</f>
        <v>0</v>
      </c>
      <c r="H344" s="62" t="n">
        <f aca="false">IF(H$5="A",0,H28*Engagement_Register!$N$26*Assumptions!H$195)</f>
        <v>0</v>
      </c>
      <c r="I344" s="62" t="n">
        <f aca="false">IF(I$5="A",0,I28*Engagement_Register!$N$26*Assumptions!I$195)</f>
        <v>0</v>
      </c>
      <c r="J344" s="62" t="n">
        <f aca="false">IF(J$5="A",0,J28*Engagement_Register!$N$26*Assumptions!J$195)</f>
        <v>0</v>
      </c>
      <c r="K344" s="62" t="n">
        <f aca="false">IF(K$5="A",0,K28*Engagement_Register!$N$26*Assumptions!K$195)</f>
        <v>0</v>
      </c>
      <c r="L344" s="62" t="n">
        <f aca="false">IF(L$5="A",0,L28*Engagement_Register!$N$26*Assumptions!L$195)</f>
        <v>0</v>
      </c>
      <c r="M344" s="62" t="n">
        <f aca="false">IF(M$5="A",0,M28*Engagement_Register!$N$26*Assumptions!M$195)</f>
        <v>0</v>
      </c>
      <c r="N344" s="62" t="n">
        <f aca="false">IF(N$5="A",0,N28*Engagement_Register!$N$26*Assumptions!N$195)</f>
        <v>1495.74193548387</v>
      </c>
      <c r="O344" s="62" t="n">
        <f aca="false">IF(O$5="A",0,O28*Engagement_Register!$N$26*Assumptions!O$195)</f>
        <v>1479.48387096774</v>
      </c>
      <c r="P344" s="62" t="n">
        <f aca="false">IF(P$5="A",0,P28*Engagement_Register!$N$26*Assumptions!P$195)</f>
        <v>1520.12903225806</v>
      </c>
      <c r="Q344" s="62" t="n">
        <f aca="false">IF(Q$5="A",0,Q28*Engagement_Register!$N$26*Assumptions!Q$195)</f>
        <v>1339.66451612903</v>
      </c>
      <c r="R344" s="62" t="n">
        <f aca="false">IF(R$5="A",0,R28*Engagement_Register!$N$26*Assumptions!R$195)</f>
        <v>0</v>
      </c>
      <c r="S344" s="62" t="n">
        <f aca="false">IF(S$5="A",0,S28*Engagement_Register!$N$26*Assumptions!S$195)</f>
        <v>0</v>
      </c>
      <c r="T344" s="62" t="n">
        <f aca="false">IF(T$5="A",0,T28*Engagement_Register!$N$26*Assumptions!T$195)</f>
        <v>0</v>
      </c>
      <c r="U344" s="62" t="n">
        <f aca="false">IF(U$5="A",0,U28*Engagement_Register!$N$26*Assumptions!U$195)</f>
        <v>0</v>
      </c>
      <c r="V344" s="62" t="n">
        <f aca="false">IF(V$5="A",0,V28*Engagement_Register!$N$26*Assumptions!V$195)</f>
        <v>0</v>
      </c>
      <c r="W344" s="62" t="n">
        <f aca="false">IF(W$5="A",0,W28*Engagement_Register!$N$26*Assumptions!W$195)</f>
        <v>0</v>
      </c>
      <c r="X344" s="62" t="n">
        <f aca="false">IF(X$5="A",0,X28*Engagement_Register!$N$26*Assumptions!X$195)</f>
        <v>0</v>
      </c>
      <c r="Y344" s="62" t="n">
        <f aca="false">IF(Y$5="A",0,Y28*Engagement_Register!$N$26*Assumptions!Y$195)</f>
        <v>0</v>
      </c>
      <c r="Z344" s="62" t="n">
        <f aca="false">IF(Z$5="A",0,Z28*Engagement_Register!$N$26*Assumptions!Z$195)</f>
        <v>0</v>
      </c>
      <c r="AA344" s="62" t="n">
        <f aca="false">IF(AA$5="A",0,AA28*Engagement_Register!$N$26*Assumptions!AA$195)</f>
        <v>0</v>
      </c>
      <c r="AB344" s="62" t="n">
        <f aca="false">IF(AB$5="A",0,AB28*Engagement_Register!$N$26*Assumptions!AB$195)</f>
        <v>0</v>
      </c>
    </row>
    <row r="345" customFormat="false" ht="15" hidden="false" customHeight="false" outlineLevel="0" collapsed="false">
      <c r="A345" s="29" t="s">
        <v>847</v>
      </c>
      <c r="B345" s="60" t="s">
        <v>848</v>
      </c>
      <c r="C345" s="61" t="n">
        <f aca="false">P345</f>
        <v>10583.4502103787</v>
      </c>
      <c r="D345" s="61" t="n">
        <f aca="false">AB345</f>
        <v>0</v>
      </c>
      <c r="E345" s="62" t="n">
        <f aca="false">Engagement_Register!$X$26+E340-E342</f>
        <v>0</v>
      </c>
      <c r="F345" s="71" t="n">
        <f aca="false">E345+F340-F342</f>
        <v>0</v>
      </c>
      <c r="G345" s="71" t="n">
        <f aca="false">F345+G340-G342</f>
        <v>0</v>
      </c>
      <c r="H345" s="71" t="n">
        <f aca="false">G345+H340-H342</f>
        <v>0</v>
      </c>
      <c r="I345" s="71" t="n">
        <f aca="false">H345+I340-I342</f>
        <v>0</v>
      </c>
      <c r="J345" s="71" t="n">
        <f aca="false">I345+J340-J342</f>
        <v>0</v>
      </c>
      <c r="K345" s="71" t="n">
        <f aca="false">J345+K340-K342</f>
        <v>0</v>
      </c>
      <c r="L345" s="71" t="n">
        <f aca="false">K345+L340-L342</f>
        <v>0</v>
      </c>
      <c r="M345" s="71" t="n">
        <f aca="false">L345+M340-M342</f>
        <v>0</v>
      </c>
      <c r="N345" s="71" t="n">
        <f aca="false">M345+N340-N342</f>
        <v>-5870.96774193549</v>
      </c>
      <c r="O345" s="71" t="n">
        <f aca="false">N345+O340-O342</f>
        <v>29865.3576437588</v>
      </c>
      <c r="P345" s="71" t="n">
        <f aca="false">O345+P340-P342</f>
        <v>10583.4502103787</v>
      </c>
      <c r="Q345" s="71" t="n">
        <f aca="false">P345+Q340-Q342</f>
        <v>0</v>
      </c>
      <c r="R345" s="71" t="n">
        <f aca="false">Q345+R340-R342</f>
        <v>0</v>
      </c>
      <c r="S345" s="71" t="n">
        <f aca="false">R345+S340-S342</f>
        <v>0</v>
      </c>
      <c r="T345" s="71" t="n">
        <f aca="false">S345+T340-T342</f>
        <v>0</v>
      </c>
      <c r="U345" s="71" t="n">
        <f aca="false">T345+U340-U342</f>
        <v>0</v>
      </c>
      <c r="V345" s="71" t="n">
        <f aca="false">U345+V340-V342</f>
        <v>0</v>
      </c>
      <c r="W345" s="71" t="n">
        <f aca="false">V345+W340-W342</f>
        <v>0</v>
      </c>
      <c r="X345" s="71" t="n">
        <f aca="false">W345+X340-X342</f>
        <v>0</v>
      </c>
      <c r="Y345" s="71" t="n">
        <f aca="false">X345+Y340-Y342</f>
        <v>0</v>
      </c>
      <c r="Z345" s="71" t="n">
        <f aca="false">Y345+Z340-Z342</f>
        <v>0</v>
      </c>
      <c r="AA345" s="71" t="n">
        <f aca="false">Z345+AA340-AA342</f>
        <v>0</v>
      </c>
      <c r="AB345" s="71" t="n">
        <f aca="false">AA345+AB340-AB342</f>
        <v>0</v>
      </c>
    </row>
    <row r="346" customFormat="false" ht="15" hidden="false" customHeight="false" outlineLevel="0" collapsed="false">
      <c r="A346" s="29" t="s">
        <v>849</v>
      </c>
      <c r="B346" s="60" t="s">
        <v>850</v>
      </c>
      <c r="C346" s="61" t="n">
        <f aca="false">P346</f>
        <v>31416.5497896213</v>
      </c>
      <c r="D346" s="61" t="n">
        <f aca="false">AB346</f>
        <v>0</v>
      </c>
      <c r="E346" s="62" t="n">
        <f aca="false">MAX(0,Engagement_Register!$AP$26-E339)</f>
        <v>140000</v>
      </c>
      <c r="F346" s="62" t="n">
        <f aca="false">MAX(0,Engagement_Register!$AP$26-F339)</f>
        <v>140000</v>
      </c>
      <c r="G346" s="62" t="n">
        <f aca="false">MAX(0,Engagement_Register!$AP$26-G339)</f>
        <v>140000</v>
      </c>
      <c r="H346" s="62" t="n">
        <f aca="false">MAX(0,Engagement_Register!$AP$26-H339)</f>
        <v>140000</v>
      </c>
      <c r="I346" s="62" t="n">
        <f aca="false">MAX(0,Engagement_Register!$AP$26-I339)</f>
        <v>140000</v>
      </c>
      <c r="J346" s="62" t="n">
        <f aca="false">MAX(0,Engagement_Register!$AP$26-J339)</f>
        <v>140000</v>
      </c>
      <c r="K346" s="62" t="n">
        <f aca="false">MAX(0,Engagement_Register!$AP$26-K339)</f>
        <v>140000</v>
      </c>
      <c r="L346" s="62" t="n">
        <f aca="false">MAX(0,Engagement_Register!$AP$26-L339)</f>
        <v>140000</v>
      </c>
      <c r="M346" s="62" t="n">
        <f aca="false">MAX(0,Engagement_Register!$AP$26-M339)</f>
        <v>140000</v>
      </c>
      <c r="N346" s="62" t="n">
        <f aca="false">MAX(0,Engagement_Register!$AP$26-N339)</f>
        <v>103870.967741935</v>
      </c>
      <c r="O346" s="62" t="n">
        <f aca="false">MAX(0,Engagement_Register!$AP$26-O339)</f>
        <v>68134.6423562412</v>
      </c>
      <c r="P346" s="62" t="n">
        <f aca="false">MAX(0,Engagement_Register!$AP$26-P339)</f>
        <v>31416.5497896213</v>
      </c>
      <c r="Q346" s="62" t="n">
        <f aca="false">MAX(0,Engagement_Register!$AP$26-Q339)</f>
        <v>0</v>
      </c>
      <c r="R346" s="62" t="n">
        <f aca="false">MAX(0,Engagement_Register!$AP$26-R339)</f>
        <v>0</v>
      </c>
      <c r="S346" s="62" t="n">
        <f aca="false">MAX(0,Engagement_Register!$AP$26-S339)</f>
        <v>0</v>
      </c>
      <c r="T346" s="62" t="n">
        <f aca="false">MAX(0,Engagement_Register!$AP$26-T339)</f>
        <v>0</v>
      </c>
      <c r="U346" s="62" t="n">
        <f aca="false">MAX(0,Engagement_Register!$AP$26-U339)</f>
        <v>0</v>
      </c>
      <c r="V346" s="62" t="n">
        <f aca="false">MAX(0,Engagement_Register!$AP$26-V339)</f>
        <v>0</v>
      </c>
      <c r="W346" s="62" t="n">
        <f aca="false">MAX(0,Engagement_Register!$AP$26-W339)</f>
        <v>0</v>
      </c>
      <c r="X346" s="62" t="n">
        <f aca="false">MAX(0,Engagement_Register!$AP$26-X339)</f>
        <v>0</v>
      </c>
      <c r="Y346" s="62" t="n">
        <f aca="false">MAX(0,Engagement_Register!$AP$26-Y339)</f>
        <v>0</v>
      </c>
      <c r="Z346" s="62" t="n">
        <f aca="false">MAX(0,Engagement_Register!$AP$26-Z339)</f>
        <v>0</v>
      </c>
      <c r="AA346" s="62" t="n">
        <f aca="false">MAX(0,Engagement_Register!$AP$26-AA339)</f>
        <v>0</v>
      </c>
      <c r="AB346" s="62" t="n">
        <f aca="false">MAX(0,Engagement_Register!$AP$26-AB339)</f>
        <v>0</v>
      </c>
    </row>
    <row r="348" customFormat="false" ht="15" hidden="false" customHeight="false" outlineLevel="0" collapsed="false">
      <c r="A348" s="23" t="s">
        <v>886</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row>
    <row r="349" customFormat="false" ht="15" hidden="false" customHeight="false" outlineLevel="0" collapsed="false">
      <c r="A349" s="29" t="s">
        <v>736</v>
      </c>
      <c r="B349" s="60" t="s">
        <v>832</v>
      </c>
      <c r="C349" s="66" t="n">
        <f aca="false">P349</f>
        <v>651</v>
      </c>
      <c r="D349" s="66" t="n">
        <f aca="false">AB349</f>
        <v>651</v>
      </c>
      <c r="E349" s="67" t="n">
        <f aca="false">Engagement_Register!$T$27+E29</f>
        <v>0</v>
      </c>
      <c r="F349" s="72" t="n">
        <f aca="false">E349+F29</f>
        <v>0</v>
      </c>
      <c r="G349" s="72" t="n">
        <f aca="false">F349+G29</f>
        <v>0</v>
      </c>
      <c r="H349" s="72" t="n">
        <f aca="false">G349+H29</f>
        <v>0</v>
      </c>
      <c r="I349" s="72" t="n">
        <f aca="false">H349+I29</f>
        <v>0</v>
      </c>
      <c r="J349" s="72" t="n">
        <f aca="false">I349+J29</f>
        <v>0</v>
      </c>
      <c r="K349" s="72" t="n">
        <f aca="false">J349+K29</f>
        <v>0</v>
      </c>
      <c r="L349" s="72" t="n">
        <f aca="false">K349+L29</f>
        <v>0</v>
      </c>
      <c r="M349" s="72" t="n">
        <f aca="false">L349+M29</f>
        <v>0</v>
      </c>
      <c r="N349" s="72" t="n">
        <f aca="false">M349+N29</f>
        <v>216.607594936709</v>
      </c>
      <c r="O349" s="72" t="n">
        <f aca="false">N349+O29</f>
        <v>430.860759493671</v>
      </c>
      <c r="P349" s="72" t="n">
        <f aca="false">O349+P29</f>
        <v>651</v>
      </c>
      <c r="Q349" s="72" t="n">
        <f aca="false">P349+Q29</f>
        <v>651</v>
      </c>
      <c r="R349" s="72" t="n">
        <f aca="false">Q349+R29</f>
        <v>651</v>
      </c>
      <c r="S349" s="72" t="n">
        <f aca="false">R349+S29</f>
        <v>651</v>
      </c>
      <c r="T349" s="72" t="n">
        <f aca="false">S349+T29</f>
        <v>651</v>
      </c>
      <c r="U349" s="72" t="n">
        <f aca="false">T349+U29</f>
        <v>651</v>
      </c>
      <c r="V349" s="72" t="n">
        <f aca="false">U349+V29</f>
        <v>651</v>
      </c>
      <c r="W349" s="72" t="n">
        <f aca="false">V349+W29</f>
        <v>651</v>
      </c>
      <c r="X349" s="72" t="n">
        <f aca="false">W349+X29</f>
        <v>651</v>
      </c>
      <c r="Y349" s="72" t="n">
        <f aca="false">X349+Y29</f>
        <v>651</v>
      </c>
      <c r="Z349" s="72" t="n">
        <f aca="false">Y349+Z29</f>
        <v>651</v>
      </c>
      <c r="AA349" s="72" t="n">
        <f aca="false">Z349+AA29</f>
        <v>651</v>
      </c>
      <c r="AB349" s="72" t="n">
        <f aca="false">AA349+AB29</f>
        <v>651</v>
      </c>
    </row>
    <row r="350" customFormat="false" ht="15" hidden="false" customHeight="false" outlineLevel="0" collapsed="false">
      <c r="A350" s="29" t="s">
        <v>852</v>
      </c>
      <c r="B350" s="60" t="s">
        <v>853</v>
      </c>
      <c r="C350" s="66" t="n">
        <f aca="false">P350</f>
        <v>651</v>
      </c>
      <c r="D350" s="66" t="n">
        <f aca="false">AB350</f>
        <v>651</v>
      </c>
      <c r="E350" s="67" t="n">
        <f aca="false">IF(E$5="A",Engagement_Register!$AM$27,Engagement_Register!$AM$27)</f>
        <v>651</v>
      </c>
      <c r="F350" s="67" t="n">
        <f aca="false">IF(F$5="A",Engagement_Register!$AM$27,Engagement_Register!$AM$27)</f>
        <v>651</v>
      </c>
      <c r="G350" s="67" t="n">
        <f aca="false">IF(G$5="A",Engagement_Register!$AM$27,Engagement_Register!$AM$27)</f>
        <v>651</v>
      </c>
      <c r="H350" s="67" t="n">
        <f aca="false">IF(H$5="A",Engagement_Register!$AM$27,Engagement_Register!$AM$27)</f>
        <v>651</v>
      </c>
      <c r="I350" s="67" t="n">
        <f aca="false">IF(I$5="A",Engagement_Register!$AM$27,Engagement_Register!$AM$27)</f>
        <v>651</v>
      </c>
      <c r="J350" s="67" t="n">
        <f aca="false">IF(J$5="A",Engagement_Register!$AM$27,Engagement_Register!$AM$27)</f>
        <v>651</v>
      </c>
      <c r="K350" s="67" t="n">
        <f aca="false">IF(K$5="A",Engagement_Register!$AM$27,Engagement_Register!$AM$27)</f>
        <v>651</v>
      </c>
      <c r="L350" s="67" t="n">
        <f aca="false">IF(L$5="A",Engagement_Register!$AM$27,Engagement_Register!$AM$27)</f>
        <v>651</v>
      </c>
      <c r="M350" s="67" t="n">
        <f aca="false">IF(M$5="A",Engagement_Register!$AM$27,Engagement_Register!$AM$27)</f>
        <v>651</v>
      </c>
      <c r="N350" s="67" t="n">
        <f aca="false">IF(N$5="A",Engagement_Register!$AM$27,Engagement_Register!$AM$27)</f>
        <v>651</v>
      </c>
      <c r="O350" s="67" t="n">
        <f aca="false">IF(O$5="A",Engagement_Register!$AM$27,Engagement_Register!$AM$27)</f>
        <v>651</v>
      </c>
      <c r="P350" s="67" t="n">
        <f aca="false">IF(P$5="A",Engagement_Register!$AM$27,Engagement_Register!$AM$27)</f>
        <v>651</v>
      </c>
      <c r="Q350" s="67" t="n">
        <f aca="false">IF(Q$5="A",Engagement_Register!$AM$27,Engagement_Register!$AM$27)</f>
        <v>651</v>
      </c>
      <c r="R350" s="67" t="n">
        <f aca="false">IF(R$5="A",Engagement_Register!$AM$27,Engagement_Register!$AM$27)</f>
        <v>651</v>
      </c>
      <c r="S350" s="67" t="n">
        <f aca="false">IF(S$5="A",Engagement_Register!$AM$27,Engagement_Register!$AM$27)</f>
        <v>651</v>
      </c>
      <c r="T350" s="67" t="n">
        <f aca="false">IF(T$5="A",Engagement_Register!$AM$27,Engagement_Register!$AM$27)</f>
        <v>651</v>
      </c>
      <c r="U350" s="67" t="n">
        <f aca="false">IF(U$5="A",Engagement_Register!$AM$27,Engagement_Register!$AM$27)</f>
        <v>651</v>
      </c>
      <c r="V350" s="67" t="n">
        <f aca="false">IF(V$5="A",Engagement_Register!$AM$27,Engagement_Register!$AM$27)</f>
        <v>651</v>
      </c>
      <c r="W350" s="67" t="n">
        <f aca="false">IF(W$5="A",Engagement_Register!$AM$27,Engagement_Register!$AM$27)</f>
        <v>651</v>
      </c>
      <c r="X350" s="67" t="n">
        <f aca="false">IF(X$5="A",Engagement_Register!$AM$27,Engagement_Register!$AM$27)</f>
        <v>651</v>
      </c>
      <c r="Y350" s="67" t="n">
        <f aca="false">IF(Y$5="A",Engagement_Register!$AM$27,Engagement_Register!$AM$27)</f>
        <v>651</v>
      </c>
      <c r="Z350" s="67" t="n">
        <f aca="false">IF(Z$5="A",Engagement_Register!$AM$27,Engagement_Register!$AM$27)</f>
        <v>651</v>
      </c>
      <c r="AA350" s="67" t="n">
        <f aca="false">IF(AA$5="A",Engagement_Register!$AM$27,Engagement_Register!$AM$27)</f>
        <v>651</v>
      </c>
      <c r="AB350" s="67" t="n">
        <f aca="false">IF(AB$5="A",Engagement_Register!$AM$27,Engagement_Register!$AM$27)</f>
        <v>651</v>
      </c>
    </row>
    <row r="351" customFormat="false" ht="15" hidden="false" customHeight="false" outlineLevel="0" collapsed="false">
      <c r="A351" s="29" t="s">
        <v>854</v>
      </c>
      <c r="B351" s="60" t="s">
        <v>855</v>
      </c>
      <c r="C351" s="63" t="n">
        <f aca="false">P351</f>
        <v>1</v>
      </c>
      <c r="D351" s="63" t="n">
        <f aca="false">AB351</f>
        <v>1</v>
      </c>
      <c r="E351" s="64" t="n">
        <f aca="false">IF(E350&lt;=0,0,MIN(1,E349/E350))</f>
        <v>0</v>
      </c>
      <c r="F351" s="64" t="n">
        <f aca="false">IF(F350&lt;=0,0,MIN(1,F349/F350))</f>
        <v>0</v>
      </c>
      <c r="G351" s="64" t="n">
        <f aca="false">IF(G350&lt;=0,0,MIN(1,G349/G350))</f>
        <v>0</v>
      </c>
      <c r="H351" s="64" t="n">
        <f aca="false">IF(H350&lt;=0,0,MIN(1,H349/H350))</f>
        <v>0</v>
      </c>
      <c r="I351" s="64" t="n">
        <f aca="false">IF(I350&lt;=0,0,MIN(1,I349/I350))</f>
        <v>0</v>
      </c>
      <c r="J351" s="64" t="n">
        <f aca="false">IF(J350&lt;=0,0,MIN(1,J349/J350))</f>
        <v>0</v>
      </c>
      <c r="K351" s="64" t="n">
        <f aca="false">IF(K350&lt;=0,0,MIN(1,K349/K350))</f>
        <v>0</v>
      </c>
      <c r="L351" s="64" t="n">
        <f aca="false">IF(L350&lt;=0,0,MIN(1,L349/L350))</f>
        <v>0</v>
      </c>
      <c r="M351" s="64" t="n">
        <f aca="false">IF(M350&lt;=0,0,MIN(1,M349/M350))</f>
        <v>0</v>
      </c>
      <c r="N351" s="64" t="n">
        <f aca="false">IF(N350&lt;=0,0,MIN(1,N349/N350))</f>
        <v>0.332730560578662</v>
      </c>
      <c r="O351" s="64" t="n">
        <f aca="false">IF(O350&lt;=0,0,MIN(1,O349/O350))</f>
        <v>0.661844484629295</v>
      </c>
      <c r="P351" s="64" t="n">
        <f aca="false">IF(P350&lt;=0,0,MIN(1,P349/P350))</f>
        <v>1</v>
      </c>
      <c r="Q351" s="64" t="n">
        <f aca="false">IF(Q350&lt;=0,0,MIN(1,Q349/Q350))</f>
        <v>1</v>
      </c>
      <c r="R351" s="64" t="n">
        <f aca="false">IF(R350&lt;=0,0,MIN(1,R349/R350))</f>
        <v>1</v>
      </c>
      <c r="S351" s="64" t="n">
        <f aca="false">IF(S350&lt;=0,0,MIN(1,S349/S350))</f>
        <v>1</v>
      </c>
      <c r="T351" s="64" t="n">
        <f aca="false">IF(T350&lt;=0,0,MIN(1,T349/T350))</f>
        <v>1</v>
      </c>
      <c r="U351" s="64" t="n">
        <f aca="false">IF(U350&lt;=0,0,MIN(1,U349/U350))</f>
        <v>1</v>
      </c>
      <c r="V351" s="64" t="n">
        <f aca="false">IF(V350&lt;=0,0,MIN(1,V349/V350))</f>
        <v>1</v>
      </c>
      <c r="W351" s="64" t="n">
        <f aca="false">IF(W350&lt;=0,0,MIN(1,W349/W350))</f>
        <v>1</v>
      </c>
      <c r="X351" s="64" t="n">
        <f aca="false">IF(X350&lt;=0,0,MIN(1,X349/X350))</f>
        <v>1</v>
      </c>
      <c r="Y351" s="64" t="n">
        <f aca="false">IF(Y350&lt;=0,0,MIN(1,Y349/Y350))</f>
        <v>1</v>
      </c>
      <c r="Z351" s="64" t="n">
        <f aca="false">IF(Z350&lt;=0,0,MIN(1,Z349/Z350))</f>
        <v>1</v>
      </c>
      <c r="AA351" s="64" t="n">
        <f aca="false">IF(AA350&lt;=0,0,MIN(1,AA349/AA350))</f>
        <v>1</v>
      </c>
      <c r="AB351" s="64" t="n">
        <f aca="false">IF(AB350&lt;=0,0,MIN(1,AB349/AB350))</f>
        <v>1</v>
      </c>
    </row>
    <row r="352" customFormat="false" ht="15" hidden="false" customHeight="false" outlineLevel="0" collapsed="false">
      <c r="A352" s="29" t="s">
        <v>833</v>
      </c>
      <c r="B352" s="60" t="s">
        <v>834</v>
      </c>
      <c r="C352" s="61" t="n">
        <f aca="false">SUM(E352:P352)</f>
        <v>134496.6</v>
      </c>
      <c r="D352" s="61" t="n">
        <f aca="false">SUM(Q352:AB352)</f>
        <v>0</v>
      </c>
      <c r="E352" s="62" t="n">
        <f aca="false">E29*Engagement_Register!$AD$27*Assumptions!E$194</f>
        <v>0</v>
      </c>
      <c r="F352" s="62" t="n">
        <f aca="false">F29*Engagement_Register!$AD$27*Assumptions!F$194</f>
        <v>0</v>
      </c>
      <c r="G352" s="62" t="n">
        <f aca="false">G29*Engagement_Register!$AD$27*Assumptions!G$194</f>
        <v>0</v>
      </c>
      <c r="H352" s="62" t="n">
        <f aca="false">H29*Engagement_Register!$AD$27*Assumptions!H$194</f>
        <v>0</v>
      </c>
      <c r="I352" s="62" t="n">
        <f aca="false">I29*Engagement_Register!$AD$27*Assumptions!I$194</f>
        <v>0</v>
      </c>
      <c r="J352" s="62" t="n">
        <f aca="false">J29*Engagement_Register!$AD$27*Assumptions!J$194</f>
        <v>0</v>
      </c>
      <c r="K352" s="62" t="n">
        <f aca="false">K29*Engagement_Register!$AD$27*Assumptions!K$194</f>
        <v>0</v>
      </c>
      <c r="L352" s="62" t="n">
        <f aca="false">L29*Engagement_Register!$AD$27*Assumptions!L$194</f>
        <v>0</v>
      </c>
      <c r="M352" s="62" t="n">
        <f aca="false">M29*Engagement_Register!$AD$27*Assumptions!M$194</f>
        <v>0</v>
      </c>
      <c r="N352" s="62" t="n">
        <f aca="false">N29*Engagement_Register!$AD$27*Assumptions!N$194</f>
        <v>44751.1291139241</v>
      </c>
      <c r="O352" s="62" t="n">
        <f aca="false">O29*Engagement_Register!$AD$27*Assumptions!O$194</f>
        <v>44264.7037974684</v>
      </c>
      <c r="P352" s="62" t="n">
        <f aca="false">P29*Engagement_Register!$AD$27*Assumptions!P$194</f>
        <v>45480.7670886076</v>
      </c>
      <c r="Q352" s="62" t="n">
        <f aca="false">Q29*Engagement_Register!$AD$27*Assumptions!Q$194</f>
        <v>0</v>
      </c>
      <c r="R352" s="62" t="n">
        <f aca="false">R29*Engagement_Register!$AD$27*Assumptions!R$194</f>
        <v>0</v>
      </c>
      <c r="S352" s="62" t="n">
        <f aca="false">S29*Engagement_Register!$AD$27*Assumptions!S$194</f>
        <v>0</v>
      </c>
      <c r="T352" s="62" t="n">
        <f aca="false">T29*Engagement_Register!$AD$27*Assumptions!T$194</f>
        <v>0</v>
      </c>
      <c r="U352" s="62" t="n">
        <f aca="false">U29*Engagement_Register!$AD$27*Assumptions!U$194</f>
        <v>0</v>
      </c>
      <c r="V352" s="62" t="n">
        <f aca="false">V29*Engagement_Register!$AD$27*Assumptions!V$194</f>
        <v>0</v>
      </c>
      <c r="W352" s="62" t="n">
        <f aca="false">W29*Engagement_Register!$AD$27*Assumptions!W$194</f>
        <v>0</v>
      </c>
      <c r="X352" s="62" t="n">
        <f aca="false">X29*Engagement_Register!$AD$27*Assumptions!X$194</f>
        <v>0</v>
      </c>
      <c r="Y352" s="62" t="n">
        <f aca="false">Y29*Engagement_Register!$AD$27*Assumptions!Y$194</f>
        <v>0</v>
      </c>
      <c r="Z352" s="62" t="n">
        <f aca="false">Z29*Engagement_Register!$AD$27*Assumptions!Z$194</f>
        <v>0</v>
      </c>
      <c r="AA352" s="62" t="n">
        <f aca="false">AA29*Engagement_Register!$AD$27*Assumptions!AA$194</f>
        <v>0</v>
      </c>
      <c r="AB352" s="62" t="n">
        <f aca="false">AB29*Engagement_Register!$AD$27*Assumptions!AB$194</f>
        <v>0</v>
      </c>
    </row>
    <row r="353" customFormat="false" ht="15" hidden="false" customHeight="false" outlineLevel="0" collapsed="false">
      <c r="A353" s="29" t="s">
        <v>835</v>
      </c>
      <c r="B353" s="60" t="s">
        <v>865</v>
      </c>
      <c r="C353" s="61" t="n">
        <f aca="false">SUM(E353:P353)</f>
        <v>126000</v>
      </c>
      <c r="D353" s="61" t="n">
        <f aca="false">SUM(Q353:AB353)</f>
        <v>0</v>
      </c>
      <c r="E353" s="62" t="n">
        <f aca="false">E29*Engagement_Register!$AE$27</f>
        <v>0</v>
      </c>
      <c r="F353" s="62" t="n">
        <f aca="false">F29*Engagement_Register!$AE$27</f>
        <v>0</v>
      </c>
      <c r="G353" s="62" t="n">
        <f aca="false">G29*Engagement_Register!$AE$27</f>
        <v>0</v>
      </c>
      <c r="H353" s="62" t="n">
        <f aca="false">H29*Engagement_Register!$AE$27</f>
        <v>0</v>
      </c>
      <c r="I353" s="62" t="n">
        <f aca="false">I29*Engagement_Register!$AE$27</f>
        <v>0</v>
      </c>
      <c r="J353" s="62" t="n">
        <f aca="false">J29*Engagement_Register!$AE$27</f>
        <v>0</v>
      </c>
      <c r="K353" s="62" t="n">
        <f aca="false">K29*Engagement_Register!$AE$27</f>
        <v>0</v>
      </c>
      <c r="L353" s="62" t="n">
        <f aca="false">L29*Engagement_Register!$AE$27</f>
        <v>0</v>
      </c>
      <c r="M353" s="62" t="n">
        <f aca="false">M29*Engagement_Register!$AE$27</f>
        <v>0</v>
      </c>
      <c r="N353" s="62" t="n">
        <f aca="false">N29*Engagement_Register!$AE$27</f>
        <v>41924.0506329114</v>
      </c>
      <c r="O353" s="62" t="n">
        <f aca="false">O29*Engagement_Register!$AE$27</f>
        <v>41468.3544303797</v>
      </c>
      <c r="P353" s="62" t="n">
        <f aca="false">P29*Engagement_Register!$AE$27</f>
        <v>42607.5949367089</v>
      </c>
      <c r="Q353" s="62" t="n">
        <f aca="false">Q29*Engagement_Register!$AE$27</f>
        <v>0</v>
      </c>
      <c r="R353" s="62" t="n">
        <f aca="false">R29*Engagement_Register!$AE$27</f>
        <v>0</v>
      </c>
      <c r="S353" s="62" t="n">
        <f aca="false">S29*Engagement_Register!$AE$27</f>
        <v>0</v>
      </c>
      <c r="T353" s="62" t="n">
        <f aca="false">T29*Engagement_Register!$AE$27</f>
        <v>0</v>
      </c>
      <c r="U353" s="62" t="n">
        <f aca="false">U29*Engagement_Register!$AE$27</f>
        <v>0</v>
      </c>
      <c r="V353" s="62" t="n">
        <f aca="false">V29*Engagement_Register!$AE$27</f>
        <v>0</v>
      </c>
      <c r="W353" s="62" t="n">
        <f aca="false">W29*Engagement_Register!$AE$27</f>
        <v>0</v>
      </c>
      <c r="X353" s="62" t="n">
        <f aca="false">X29*Engagement_Register!$AE$27</f>
        <v>0</v>
      </c>
      <c r="Y353" s="62" t="n">
        <f aca="false">Y29*Engagement_Register!$AE$27</f>
        <v>0</v>
      </c>
      <c r="Z353" s="62" t="n">
        <f aca="false">Z29*Engagement_Register!$AE$27</f>
        <v>0</v>
      </c>
      <c r="AA353" s="62" t="n">
        <f aca="false">AA29*Engagement_Register!$AE$27</f>
        <v>0</v>
      </c>
      <c r="AB353" s="62" t="n">
        <f aca="false">AB29*Engagement_Register!$AE$27</f>
        <v>0</v>
      </c>
    </row>
    <row r="354" customFormat="false" ht="15" hidden="false" customHeight="false" outlineLevel="0" collapsed="false">
      <c r="A354" s="29" t="s">
        <v>742</v>
      </c>
      <c r="B354" s="60" t="s">
        <v>866</v>
      </c>
      <c r="C354" s="61" t="n">
        <f aca="false">P354</f>
        <v>120000</v>
      </c>
      <c r="D354" s="61" t="n">
        <f aca="false">AB354</f>
        <v>120000</v>
      </c>
      <c r="E354" s="62" t="n">
        <f aca="false">IF(E$5="A",Engagement_Register!$U$27+0,Engagement_Register!$AP$27*E351)</f>
        <v>0</v>
      </c>
      <c r="F354" s="62" t="n">
        <f aca="false">IF(F$5="A",E354+0,Engagement_Register!$AP$27*F351)</f>
        <v>0</v>
      </c>
      <c r="G354" s="62" t="n">
        <f aca="false">IF(G$5="A",F354+0,Engagement_Register!$AP$27*G351)</f>
        <v>0</v>
      </c>
      <c r="H354" s="62" t="n">
        <f aca="false">IF(H$5="A",G354+0,Engagement_Register!$AP$27*H351)</f>
        <v>0</v>
      </c>
      <c r="I354" s="62" t="n">
        <f aca="false">IF(I$5="A",H354+0,Engagement_Register!$AP$27*I351)</f>
        <v>0</v>
      </c>
      <c r="J354" s="62" t="n">
        <f aca="false">IF(J$5="A",I354+0,Engagement_Register!$AP$27*J351)</f>
        <v>0</v>
      </c>
      <c r="K354" s="62" t="n">
        <f aca="false">IF(K$5="A",J354+0,Engagement_Register!$AP$27*K351)</f>
        <v>0</v>
      </c>
      <c r="L354" s="62" t="n">
        <f aca="false">IF(L$5="A",K354+0,Engagement_Register!$AP$27*L351)</f>
        <v>0</v>
      </c>
      <c r="M354" s="62" t="n">
        <f aca="false">IF(M$5="A",L354+0,Engagement_Register!$AP$27*M351)</f>
        <v>0</v>
      </c>
      <c r="N354" s="62" t="n">
        <f aca="false">IF(N$5="A",M354+0,Engagement_Register!$AP$27*N351)</f>
        <v>39927.6672694394</v>
      </c>
      <c r="O354" s="62" t="n">
        <f aca="false">IF(O$5="A",N354+0,Engagement_Register!$AP$27*O351)</f>
        <v>79421.3381555154</v>
      </c>
      <c r="P354" s="62" t="n">
        <f aca="false">IF(P$5="A",O354+0,Engagement_Register!$AP$27*P351)</f>
        <v>120000</v>
      </c>
      <c r="Q354" s="62" t="n">
        <f aca="false">IF(Q$5="A",P354+0,Engagement_Register!$AP$27*Q351)</f>
        <v>120000</v>
      </c>
      <c r="R354" s="62" t="n">
        <f aca="false">IF(R$5="A",Q354+0,Engagement_Register!$AP$27*R351)</f>
        <v>120000</v>
      </c>
      <c r="S354" s="62" t="n">
        <f aca="false">IF(S$5="A",R354+0,Engagement_Register!$AP$27*S351)</f>
        <v>120000</v>
      </c>
      <c r="T354" s="62" t="n">
        <f aca="false">IF(T$5="A",S354+0,Engagement_Register!$AP$27*T351)</f>
        <v>120000</v>
      </c>
      <c r="U354" s="62" t="n">
        <f aca="false">IF(U$5="A",T354+0,Engagement_Register!$AP$27*U351)</f>
        <v>120000</v>
      </c>
      <c r="V354" s="62" t="n">
        <f aca="false">IF(V$5="A",U354+0,Engagement_Register!$AP$27*V351)</f>
        <v>120000</v>
      </c>
      <c r="W354" s="62" t="n">
        <f aca="false">IF(W$5="A",V354+0,Engagement_Register!$AP$27*W351)</f>
        <v>120000</v>
      </c>
      <c r="X354" s="62" t="n">
        <f aca="false">IF(X$5="A",W354+0,Engagement_Register!$AP$27*X351)</f>
        <v>120000</v>
      </c>
      <c r="Y354" s="62" t="n">
        <f aca="false">IF(Y$5="A",X354+0,Engagement_Register!$AP$27*Y351)</f>
        <v>120000</v>
      </c>
      <c r="Z354" s="62" t="n">
        <f aca="false">IF(Z$5="A",Y354+0,Engagement_Register!$AP$27*Z351)</f>
        <v>120000</v>
      </c>
      <c r="AA354" s="62" t="n">
        <f aca="false">IF(AA$5="A",Z354+0,Engagement_Register!$AP$27*AA351)</f>
        <v>120000</v>
      </c>
      <c r="AB354" s="62" t="n">
        <f aca="false">IF(AB$5="A",AA354+0,Engagement_Register!$AP$27*AB351)</f>
        <v>120000</v>
      </c>
    </row>
    <row r="355" customFormat="false" ht="15" hidden="false" customHeight="false" outlineLevel="0" collapsed="false">
      <c r="A355" s="68" t="s">
        <v>349</v>
      </c>
      <c r="B355" s="69" t="s">
        <v>859</v>
      </c>
      <c r="C355" s="70" t="n">
        <f aca="false">SUM(E355:P355)</f>
        <v>120000</v>
      </c>
      <c r="D355" s="70" t="n">
        <f aca="false">SUM(Q355:AB355)</f>
        <v>0</v>
      </c>
      <c r="E355" s="74" t="n">
        <f aca="false">E354-Engagement_Register!$U$27</f>
        <v>0</v>
      </c>
      <c r="F355" s="70" t="n">
        <f aca="false">F354-E354</f>
        <v>0</v>
      </c>
      <c r="G355" s="70" t="n">
        <f aca="false">G354-F354</f>
        <v>0</v>
      </c>
      <c r="H355" s="70" t="n">
        <f aca="false">H354-G354</f>
        <v>0</v>
      </c>
      <c r="I355" s="70" t="n">
        <f aca="false">I354-H354</f>
        <v>0</v>
      </c>
      <c r="J355" s="70" t="n">
        <f aca="false">J354-I354</f>
        <v>0</v>
      </c>
      <c r="K355" s="70" t="n">
        <f aca="false">K354-J354</f>
        <v>0</v>
      </c>
      <c r="L355" s="70" t="n">
        <f aca="false">L354-K354</f>
        <v>0</v>
      </c>
      <c r="M355" s="70" t="n">
        <f aca="false">M354-L354</f>
        <v>0</v>
      </c>
      <c r="N355" s="70" t="n">
        <f aca="false">N354-M354</f>
        <v>39927.6672694394</v>
      </c>
      <c r="O355" s="70" t="n">
        <f aca="false">O354-N354</f>
        <v>39493.670886076</v>
      </c>
      <c r="P355" s="70" t="n">
        <f aca="false">P354-O354</f>
        <v>40578.6618444846</v>
      </c>
      <c r="Q355" s="70" t="n">
        <f aca="false">Q354-P354</f>
        <v>0</v>
      </c>
      <c r="R355" s="70" t="n">
        <f aca="false">R354-Q354</f>
        <v>0</v>
      </c>
      <c r="S355" s="70" t="n">
        <f aca="false">S354-R354</f>
        <v>0</v>
      </c>
      <c r="T355" s="70" t="n">
        <f aca="false">T354-S354</f>
        <v>0</v>
      </c>
      <c r="U355" s="70" t="n">
        <f aca="false">U354-T354</f>
        <v>0</v>
      </c>
      <c r="V355" s="70" t="n">
        <f aca="false">V354-U354</f>
        <v>0</v>
      </c>
      <c r="W355" s="70" t="n">
        <f aca="false">W354-V354</f>
        <v>0</v>
      </c>
      <c r="X355" s="70" t="n">
        <f aca="false">X354-W354</f>
        <v>0</v>
      </c>
      <c r="Y355" s="70" t="n">
        <f aca="false">Y354-X354</f>
        <v>0</v>
      </c>
      <c r="Z355" s="70" t="n">
        <f aca="false">Z354-Y354</f>
        <v>0</v>
      </c>
      <c r="AA355" s="70" t="n">
        <f aca="false">AA354-Z354</f>
        <v>0</v>
      </c>
      <c r="AB355" s="70" t="n">
        <f aca="false">AB354-AA354</f>
        <v>0</v>
      </c>
    </row>
    <row r="356" customFormat="false" ht="15" hidden="false" customHeight="false" outlineLevel="0" collapsed="false">
      <c r="A356" s="29" t="s">
        <v>867</v>
      </c>
      <c r="B356" s="60" t="s">
        <v>868</v>
      </c>
      <c r="C356" s="61" t="n">
        <f aca="false">P356</f>
        <v>120000</v>
      </c>
      <c r="D356" s="61" t="n">
        <f aca="false">AB356</f>
        <v>120000</v>
      </c>
      <c r="E356" s="62" t="n">
        <f aca="false">Engagement_Register!$AP$27*(Assumptions!$C$146*(Assumptions!E$187&gt;=Engagement_Register!$AG$27)+Assumptions!$C$147*(Assumptions!E$187&gt;=Engagement_Register!$AI$27)+Assumptions!$C$148*(Assumptions!E$187&gt;=Engagement_Register!$AH$27))</f>
        <v>0</v>
      </c>
      <c r="F356" s="62" t="n">
        <f aca="false">Engagement_Register!$AP$27*(Assumptions!$C$146*(Assumptions!F$187&gt;=Engagement_Register!$AG$27)+Assumptions!$C$147*(Assumptions!F$187&gt;=Engagement_Register!$AI$27)+Assumptions!$C$148*(Assumptions!F$187&gt;=Engagement_Register!$AH$27))</f>
        <v>0</v>
      </c>
      <c r="G356" s="62" t="n">
        <f aca="false">Engagement_Register!$AP$27*(Assumptions!$C$146*(Assumptions!G$187&gt;=Engagement_Register!$AG$27)+Assumptions!$C$147*(Assumptions!G$187&gt;=Engagement_Register!$AI$27)+Assumptions!$C$148*(Assumptions!G$187&gt;=Engagement_Register!$AH$27))</f>
        <v>0</v>
      </c>
      <c r="H356" s="62" t="n">
        <f aca="false">Engagement_Register!$AP$27*(Assumptions!$C$146*(Assumptions!H$187&gt;=Engagement_Register!$AG$27)+Assumptions!$C$147*(Assumptions!H$187&gt;=Engagement_Register!$AI$27)+Assumptions!$C$148*(Assumptions!H$187&gt;=Engagement_Register!$AH$27))</f>
        <v>0</v>
      </c>
      <c r="I356" s="62" t="n">
        <f aca="false">Engagement_Register!$AP$27*(Assumptions!$C$146*(Assumptions!I$187&gt;=Engagement_Register!$AG$27)+Assumptions!$C$147*(Assumptions!I$187&gt;=Engagement_Register!$AI$27)+Assumptions!$C$148*(Assumptions!I$187&gt;=Engagement_Register!$AH$27))</f>
        <v>0</v>
      </c>
      <c r="J356" s="62" t="n">
        <f aca="false">Engagement_Register!$AP$27*(Assumptions!$C$146*(Assumptions!J$187&gt;=Engagement_Register!$AG$27)+Assumptions!$C$147*(Assumptions!J$187&gt;=Engagement_Register!$AI$27)+Assumptions!$C$148*(Assumptions!J$187&gt;=Engagement_Register!$AH$27))</f>
        <v>0</v>
      </c>
      <c r="K356" s="62" t="n">
        <f aca="false">Engagement_Register!$AP$27*(Assumptions!$C$146*(Assumptions!K$187&gt;=Engagement_Register!$AG$27)+Assumptions!$C$147*(Assumptions!K$187&gt;=Engagement_Register!$AI$27)+Assumptions!$C$148*(Assumptions!K$187&gt;=Engagement_Register!$AH$27))</f>
        <v>0</v>
      </c>
      <c r="L356" s="62" t="n">
        <f aca="false">Engagement_Register!$AP$27*(Assumptions!$C$146*(Assumptions!L$187&gt;=Engagement_Register!$AG$27)+Assumptions!$C$147*(Assumptions!L$187&gt;=Engagement_Register!$AI$27)+Assumptions!$C$148*(Assumptions!L$187&gt;=Engagement_Register!$AH$27))</f>
        <v>0</v>
      </c>
      <c r="M356" s="62" t="n">
        <f aca="false">Engagement_Register!$AP$27*(Assumptions!$C$146*(Assumptions!M$187&gt;=Engagement_Register!$AG$27)+Assumptions!$C$147*(Assumptions!M$187&gt;=Engagement_Register!$AI$27)+Assumptions!$C$148*(Assumptions!M$187&gt;=Engagement_Register!$AH$27))</f>
        <v>0</v>
      </c>
      <c r="N356" s="62" t="n">
        <f aca="false">Engagement_Register!$AP$27*(Assumptions!$C$146*(Assumptions!N$187&gt;=Engagement_Register!$AG$27)+Assumptions!$C$147*(Assumptions!N$187&gt;=Engagement_Register!$AI$27)+Assumptions!$C$148*(Assumptions!N$187&gt;=Engagement_Register!$AH$27))</f>
        <v>36000</v>
      </c>
      <c r="O356" s="62" t="n">
        <f aca="false">Engagement_Register!$AP$27*(Assumptions!$C$146*(Assumptions!O$187&gt;=Engagement_Register!$AG$27)+Assumptions!$C$147*(Assumptions!O$187&gt;=Engagement_Register!$AI$27)+Assumptions!$C$148*(Assumptions!O$187&gt;=Engagement_Register!$AH$27))</f>
        <v>84000</v>
      </c>
      <c r="P356" s="62" t="n">
        <f aca="false">Engagement_Register!$AP$27*(Assumptions!$C$146*(Assumptions!P$187&gt;=Engagement_Register!$AG$27)+Assumptions!$C$147*(Assumptions!P$187&gt;=Engagement_Register!$AI$27)+Assumptions!$C$148*(Assumptions!P$187&gt;=Engagement_Register!$AH$27))</f>
        <v>120000</v>
      </c>
      <c r="Q356" s="62" t="n">
        <f aca="false">Engagement_Register!$AP$27*(Assumptions!$C$146*(Assumptions!Q$187&gt;=Engagement_Register!$AG$27)+Assumptions!$C$147*(Assumptions!Q$187&gt;=Engagement_Register!$AI$27)+Assumptions!$C$148*(Assumptions!Q$187&gt;=Engagement_Register!$AH$27))</f>
        <v>120000</v>
      </c>
      <c r="R356" s="62" t="n">
        <f aca="false">Engagement_Register!$AP$27*(Assumptions!$C$146*(Assumptions!R$187&gt;=Engagement_Register!$AG$27)+Assumptions!$C$147*(Assumptions!R$187&gt;=Engagement_Register!$AI$27)+Assumptions!$C$148*(Assumptions!R$187&gt;=Engagement_Register!$AH$27))</f>
        <v>120000</v>
      </c>
      <c r="S356" s="62" t="n">
        <f aca="false">Engagement_Register!$AP$27*(Assumptions!$C$146*(Assumptions!S$187&gt;=Engagement_Register!$AG$27)+Assumptions!$C$147*(Assumptions!S$187&gt;=Engagement_Register!$AI$27)+Assumptions!$C$148*(Assumptions!S$187&gt;=Engagement_Register!$AH$27))</f>
        <v>120000</v>
      </c>
      <c r="T356" s="62" t="n">
        <f aca="false">Engagement_Register!$AP$27*(Assumptions!$C$146*(Assumptions!T$187&gt;=Engagement_Register!$AG$27)+Assumptions!$C$147*(Assumptions!T$187&gt;=Engagement_Register!$AI$27)+Assumptions!$C$148*(Assumptions!T$187&gt;=Engagement_Register!$AH$27))</f>
        <v>120000</v>
      </c>
      <c r="U356" s="62" t="n">
        <f aca="false">Engagement_Register!$AP$27*(Assumptions!$C$146*(Assumptions!U$187&gt;=Engagement_Register!$AG$27)+Assumptions!$C$147*(Assumptions!U$187&gt;=Engagement_Register!$AI$27)+Assumptions!$C$148*(Assumptions!U$187&gt;=Engagement_Register!$AH$27))</f>
        <v>120000</v>
      </c>
      <c r="V356" s="62" t="n">
        <f aca="false">Engagement_Register!$AP$27*(Assumptions!$C$146*(Assumptions!V$187&gt;=Engagement_Register!$AG$27)+Assumptions!$C$147*(Assumptions!V$187&gt;=Engagement_Register!$AI$27)+Assumptions!$C$148*(Assumptions!V$187&gt;=Engagement_Register!$AH$27))</f>
        <v>120000</v>
      </c>
      <c r="W356" s="62" t="n">
        <f aca="false">Engagement_Register!$AP$27*(Assumptions!$C$146*(Assumptions!W$187&gt;=Engagement_Register!$AG$27)+Assumptions!$C$147*(Assumptions!W$187&gt;=Engagement_Register!$AI$27)+Assumptions!$C$148*(Assumptions!W$187&gt;=Engagement_Register!$AH$27))</f>
        <v>120000</v>
      </c>
      <c r="X356" s="62" t="n">
        <f aca="false">Engagement_Register!$AP$27*(Assumptions!$C$146*(Assumptions!X$187&gt;=Engagement_Register!$AG$27)+Assumptions!$C$147*(Assumptions!X$187&gt;=Engagement_Register!$AI$27)+Assumptions!$C$148*(Assumptions!X$187&gt;=Engagement_Register!$AH$27))</f>
        <v>120000</v>
      </c>
      <c r="Y356" s="62" t="n">
        <f aca="false">Engagement_Register!$AP$27*(Assumptions!$C$146*(Assumptions!Y$187&gt;=Engagement_Register!$AG$27)+Assumptions!$C$147*(Assumptions!Y$187&gt;=Engagement_Register!$AI$27)+Assumptions!$C$148*(Assumptions!Y$187&gt;=Engagement_Register!$AH$27))</f>
        <v>120000</v>
      </c>
      <c r="Z356" s="62" t="n">
        <f aca="false">Engagement_Register!$AP$27*(Assumptions!$C$146*(Assumptions!Z$187&gt;=Engagement_Register!$AG$27)+Assumptions!$C$147*(Assumptions!Z$187&gt;=Engagement_Register!$AI$27)+Assumptions!$C$148*(Assumptions!Z$187&gt;=Engagement_Register!$AH$27))</f>
        <v>120000</v>
      </c>
      <c r="AA356" s="62" t="n">
        <f aca="false">Engagement_Register!$AP$27*(Assumptions!$C$146*(Assumptions!AA$187&gt;=Engagement_Register!$AG$27)+Assumptions!$C$147*(Assumptions!AA$187&gt;=Engagement_Register!$AI$27)+Assumptions!$C$148*(Assumptions!AA$187&gt;=Engagement_Register!$AH$27))</f>
        <v>120000</v>
      </c>
      <c r="AB356" s="62" t="n">
        <f aca="false">Engagement_Register!$AP$27*(Assumptions!$C$146*(Assumptions!AB$187&gt;=Engagement_Register!$AG$27)+Assumptions!$C$147*(Assumptions!AB$187&gt;=Engagement_Register!$AI$27)+Assumptions!$C$148*(Assumptions!AB$187&gt;=Engagement_Register!$AH$27))</f>
        <v>120000</v>
      </c>
    </row>
    <row r="357" customFormat="false" ht="15" hidden="false" customHeight="false" outlineLevel="0" collapsed="false">
      <c r="A357" s="29" t="s">
        <v>838</v>
      </c>
      <c r="B357" s="60" t="s">
        <v>869</v>
      </c>
      <c r="C357" s="61" t="n">
        <f aca="false">SUM(E357:P357)</f>
        <v>120000</v>
      </c>
      <c r="D357" s="61" t="n">
        <f aca="false">SUM(Q357:AB357)</f>
        <v>0</v>
      </c>
      <c r="E357" s="62" t="n">
        <f aca="false">IF(E$5="A",0,MAX(0,E356-Engagement_Register!$V$27))</f>
        <v>0</v>
      </c>
      <c r="F357" s="71" t="n">
        <f aca="false">IF(F$5="A",0,MAX(0,F356-E358))</f>
        <v>0</v>
      </c>
      <c r="G357" s="71" t="n">
        <f aca="false">IF(G$5="A",0,MAX(0,G356-F358))</f>
        <v>0</v>
      </c>
      <c r="H357" s="71" t="n">
        <f aca="false">IF(H$5="A",0,MAX(0,H356-G358))</f>
        <v>0</v>
      </c>
      <c r="I357" s="71" t="n">
        <f aca="false">IF(I$5="A",0,MAX(0,I356-H358))</f>
        <v>0</v>
      </c>
      <c r="J357" s="71" t="n">
        <f aca="false">IF(J$5="A",0,MAX(0,J356-I358))</f>
        <v>0</v>
      </c>
      <c r="K357" s="71" t="n">
        <f aca="false">IF(K$5="A",0,MAX(0,K356-J358))</f>
        <v>0</v>
      </c>
      <c r="L357" s="71" t="n">
        <f aca="false">IF(L$5="A",0,MAX(0,L356-K358))</f>
        <v>0</v>
      </c>
      <c r="M357" s="71" t="n">
        <f aca="false">IF(M$5="A",0,MAX(0,M356-L358))</f>
        <v>0</v>
      </c>
      <c r="N357" s="71" t="n">
        <f aca="false">IF(N$5="A",0,MAX(0,N356-M358))</f>
        <v>36000</v>
      </c>
      <c r="O357" s="71" t="n">
        <f aca="false">IF(O$5="A",0,MAX(0,O356-N358))</f>
        <v>48000</v>
      </c>
      <c r="P357" s="71" t="n">
        <f aca="false">IF(P$5="A",0,MAX(0,P356-O358))</f>
        <v>36000</v>
      </c>
      <c r="Q357" s="71" t="n">
        <f aca="false">IF(Q$5="A",0,MAX(0,Q356-P358))</f>
        <v>0</v>
      </c>
      <c r="R357" s="71" t="n">
        <f aca="false">IF(R$5="A",0,MAX(0,R356-Q358))</f>
        <v>0</v>
      </c>
      <c r="S357" s="71" t="n">
        <f aca="false">IF(S$5="A",0,MAX(0,S356-R358))</f>
        <v>0</v>
      </c>
      <c r="T357" s="71" t="n">
        <f aca="false">IF(T$5="A",0,MAX(0,T356-S358))</f>
        <v>0</v>
      </c>
      <c r="U357" s="71" t="n">
        <f aca="false">IF(U$5="A",0,MAX(0,U356-T358))</f>
        <v>0</v>
      </c>
      <c r="V357" s="71" t="n">
        <f aca="false">IF(V$5="A",0,MAX(0,V356-U358))</f>
        <v>0</v>
      </c>
      <c r="W357" s="71" t="n">
        <f aca="false">IF(W$5="A",0,MAX(0,W356-V358))</f>
        <v>0</v>
      </c>
      <c r="X357" s="71" t="n">
        <f aca="false">IF(X$5="A",0,MAX(0,X356-W358))</f>
        <v>0</v>
      </c>
      <c r="Y357" s="71" t="n">
        <f aca="false">IF(Y$5="A",0,MAX(0,Y356-X358))</f>
        <v>0</v>
      </c>
      <c r="Z357" s="71" t="n">
        <f aca="false">IF(Z$5="A",0,MAX(0,Z356-Y358))</f>
        <v>0</v>
      </c>
      <c r="AA357" s="71" t="n">
        <f aca="false">IF(AA$5="A",0,MAX(0,AA356-Z358))</f>
        <v>0</v>
      </c>
      <c r="AB357" s="71" t="n">
        <f aca="false">IF(AB$5="A",0,MAX(0,AB356-AA358))</f>
        <v>0</v>
      </c>
    </row>
    <row r="358" customFormat="false" ht="15" hidden="false" customHeight="false" outlineLevel="0" collapsed="false">
      <c r="A358" s="29" t="s">
        <v>840</v>
      </c>
      <c r="B358" s="60"/>
      <c r="C358" s="61" t="n">
        <f aca="false">P358</f>
        <v>120000</v>
      </c>
      <c r="D358" s="61" t="n">
        <f aca="false">AB358</f>
        <v>120000</v>
      </c>
      <c r="E358" s="62" t="n">
        <f aca="false">Engagement_Register!$V$27+E357</f>
        <v>0</v>
      </c>
      <c r="F358" s="71" t="n">
        <f aca="false">E358+F357</f>
        <v>0</v>
      </c>
      <c r="G358" s="71" t="n">
        <f aca="false">F358+G357</f>
        <v>0</v>
      </c>
      <c r="H358" s="71" t="n">
        <f aca="false">G358+H357</f>
        <v>0</v>
      </c>
      <c r="I358" s="71" t="n">
        <f aca="false">H358+I357</f>
        <v>0</v>
      </c>
      <c r="J358" s="71" t="n">
        <f aca="false">I358+J357</f>
        <v>0</v>
      </c>
      <c r="K358" s="71" t="n">
        <f aca="false">J358+K357</f>
        <v>0</v>
      </c>
      <c r="L358" s="71" t="n">
        <f aca="false">K358+L357</f>
        <v>0</v>
      </c>
      <c r="M358" s="71" t="n">
        <f aca="false">L358+M357</f>
        <v>0</v>
      </c>
      <c r="N358" s="71" t="n">
        <f aca="false">M358+N357</f>
        <v>36000</v>
      </c>
      <c r="O358" s="71" t="n">
        <f aca="false">N358+O357</f>
        <v>84000</v>
      </c>
      <c r="P358" s="71" t="n">
        <f aca="false">O358+P357</f>
        <v>120000</v>
      </c>
      <c r="Q358" s="71" t="n">
        <f aca="false">P358+Q357</f>
        <v>120000</v>
      </c>
      <c r="R358" s="71" t="n">
        <f aca="false">Q358+R357</f>
        <v>120000</v>
      </c>
      <c r="S358" s="71" t="n">
        <f aca="false">R358+S357</f>
        <v>120000</v>
      </c>
      <c r="T358" s="71" t="n">
        <f aca="false">S358+T357</f>
        <v>120000</v>
      </c>
      <c r="U358" s="71" t="n">
        <f aca="false">T358+U357</f>
        <v>120000</v>
      </c>
      <c r="V358" s="71" t="n">
        <f aca="false">U358+V357</f>
        <v>120000</v>
      </c>
      <c r="W358" s="71" t="n">
        <f aca="false">V358+W357</f>
        <v>120000</v>
      </c>
      <c r="X358" s="71" t="n">
        <f aca="false">W358+X357</f>
        <v>120000</v>
      </c>
      <c r="Y358" s="71" t="n">
        <f aca="false">X358+Y357</f>
        <v>120000</v>
      </c>
      <c r="Z358" s="71" t="n">
        <f aca="false">Y358+Z357</f>
        <v>120000</v>
      </c>
      <c r="AA358" s="71" t="n">
        <f aca="false">Z358+AA357</f>
        <v>120000</v>
      </c>
      <c r="AB358" s="71" t="n">
        <f aca="false">AA358+AB357</f>
        <v>120000</v>
      </c>
    </row>
    <row r="359" customFormat="false" ht="15" hidden="false" customHeight="false" outlineLevel="0" collapsed="false">
      <c r="A359" s="29" t="s">
        <v>841</v>
      </c>
      <c r="B359" s="60" t="s">
        <v>842</v>
      </c>
      <c r="C359" s="61" t="n">
        <f aca="false">SUM(E359:P359)</f>
        <v>6510</v>
      </c>
      <c r="D359" s="61" t="n">
        <f aca="false">SUM(Q359:AB359)</f>
        <v>0</v>
      </c>
      <c r="E359" s="62" t="n">
        <f aca="false">IF(E$5="A",0,E29*Engagement_Register!$N$27*Assumptions!E$195)</f>
        <v>0</v>
      </c>
      <c r="F359" s="62" t="n">
        <f aca="false">IF(F$5="A",0,F29*Engagement_Register!$N$27*Assumptions!F$195)</f>
        <v>0</v>
      </c>
      <c r="G359" s="62" t="n">
        <f aca="false">IF(G$5="A",0,G29*Engagement_Register!$N$27*Assumptions!G$195)</f>
        <v>0</v>
      </c>
      <c r="H359" s="62" t="n">
        <f aca="false">IF(H$5="A",0,H29*Engagement_Register!$N$27*Assumptions!H$195)</f>
        <v>0</v>
      </c>
      <c r="I359" s="62" t="n">
        <f aca="false">IF(I$5="A",0,I29*Engagement_Register!$N$27*Assumptions!I$195)</f>
        <v>0</v>
      </c>
      <c r="J359" s="62" t="n">
        <f aca="false">IF(J$5="A",0,J29*Engagement_Register!$N$27*Assumptions!J$195)</f>
        <v>0</v>
      </c>
      <c r="K359" s="62" t="n">
        <f aca="false">IF(K$5="A",0,K29*Engagement_Register!$N$27*Assumptions!K$195)</f>
        <v>0</v>
      </c>
      <c r="L359" s="62" t="n">
        <f aca="false">IF(L$5="A",0,L29*Engagement_Register!$N$27*Assumptions!L$195)</f>
        <v>0</v>
      </c>
      <c r="M359" s="62" t="n">
        <f aca="false">IF(M$5="A",0,M29*Engagement_Register!$N$27*Assumptions!M$195)</f>
        <v>0</v>
      </c>
      <c r="N359" s="62" t="n">
        <f aca="false">IF(N$5="A",0,N29*Engagement_Register!$N$27*Assumptions!N$195)</f>
        <v>2166.07594936709</v>
      </c>
      <c r="O359" s="62" t="n">
        <f aca="false">IF(O$5="A",0,O29*Engagement_Register!$N$27*Assumptions!O$195)</f>
        <v>2142.53164556962</v>
      </c>
      <c r="P359" s="62" t="n">
        <f aca="false">IF(P$5="A",0,P29*Engagement_Register!$N$27*Assumptions!P$195)</f>
        <v>2201.39240506329</v>
      </c>
      <c r="Q359" s="62" t="n">
        <f aca="false">IF(Q$5="A",0,Q29*Engagement_Register!$N$27*Assumptions!Q$195)</f>
        <v>0</v>
      </c>
      <c r="R359" s="62" t="n">
        <f aca="false">IF(R$5="A",0,R29*Engagement_Register!$N$27*Assumptions!R$195)</f>
        <v>0</v>
      </c>
      <c r="S359" s="62" t="n">
        <f aca="false">IF(S$5="A",0,S29*Engagement_Register!$N$27*Assumptions!S$195)</f>
        <v>0</v>
      </c>
      <c r="T359" s="62" t="n">
        <f aca="false">IF(T$5="A",0,T29*Engagement_Register!$N$27*Assumptions!T$195)</f>
        <v>0</v>
      </c>
      <c r="U359" s="62" t="n">
        <f aca="false">IF(U$5="A",0,U29*Engagement_Register!$N$27*Assumptions!U$195)</f>
        <v>0</v>
      </c>
      <c r="V359" s="62" t="n">
        <f aca="false">IF(V$5="A",0,V29*Engagement_Register!$N$27*Assumptions!V$195)</f>
        <v>0</v>
      </c>
      <c r="W359" s="62" t="n">
        <f aca="false">IF(W$5="A",0,W29*Engagement_Register!$N$27*Assumptions!W$195)</f>
        <v>0</v>
      </c>
      <c r="X359" s="62" t="n">
        <f aca="false">IF(X$5="A",0,X29*Engagement_Register!$N$27*Assumptions!X$195)</f>
        <v>0</v>
      </c>
      <c r="Y359" s="62" t="n">
        <f aca="false">IF(Y$5="A",0,Y29*Engagement_Register!$N$27*Assumptions!Y$195)</f>
        <v>0</v>
      </c>
      <c r="Z359" s="62" t="n">
        <f aca="false">IF(Z$5="A",0,Z29*Engagement_Register!$N$27*Assumptions!Z$195)</f>
        <v>0</v>
      </c>
      <c r="AA359" s="62" t="n">
        <f aca="false">IF(AA$5="A",0,AA29*Engagement_Register!$N$27*Assumptions!AA$195)</f>
        <v>0</v>
      </c>
      <c r="AB359" s="62" t="n">
        <f aca="false">IF(AB$5="A",0,AB29*Engagement_Register!$N$27*Assumptions!AB$195)</f>
        <v>0</v>
      </c>
    </row>
    <row r="360" customFormat="false" ht="15" hidden="false" customHeight="false" outlineLevel="0" collapsed="false">
      <c r="A360" s="29" t="s">
        <v>847</v>
      </c>
      <c r="B360" s="60" t="s">
        <v>848</v>
      </c>
      <c r="C360" s="61" t="n">
        <f aca="false">P360</f>
        <v>0</v>
      </c>
      <c r="D360" s="61" t="n">
        <f aca="false">AB360</f>
        <v>0</v>
      </c>
      <c r="E360" s="62" t="n">
        <f aca="false">Engagement_Register!$X$27+E355-E357</f>
        <v>0</v>
      </c>
      <c r="F360" s="71" t="n">
        <f aca="false">E360+F355-F357</f>
        <v>0</v>
      </c>
      <c r="G360" s="71" t="n">
        <f aca="false">F360+G355-G357</f>
        <v>0</v>
      </c>
      <c r="H360" s="71" t="n">
        <f aca="false">G360+H355-H357</f>
        <v>0</v>
      </c>
      <c r="I360" s="71" t="n">
        <f aca="false">H360+I355-I357</f>
        <v>0</v>
      </c>
      <c r="J360" s="71" t="n">
        <f aca="false">I360+J355-J357</f>
        <v>0</v>
      </c>
      <c r="K360" s="71" t="n">
        <f aca="false">J360+K355-K357</f>
        <v>0</v>
      </c>
      <c r="L360" s="71" t="n">
        <f aca="false">K360+L355-L357</f>
        <v>0</v>
      </c>
      <c r="M360" s="71" t="n">
        <f aca="false">L360+M355-M357</f>
        <v>0</v>
      </c>
      <c r="N360" s="71" t="n">
        <f aca="false">M360+N355-N357</f>
        <v>3927.66726943942</v>
      </c>
      <c r="O360" s="71" t="n">
        <f aca="false">N360+O355-O357</f>
        <v>-4578.66184448462</v>
      </c>
      <c r="P360" s="71" t="n">
        <f aca="false">O360+P355-P357</f>
        <v>0</v>
      </c>
      <c r="Q360" s="71" t="n">
        <f aca="false">P360+Q355-Q357</f>
        <v>0</v>
      </c>
      <c r="R360" s="71" t="n">
        <f aca="false">Q360+R355-R357</f>
        <v>0</v>
      </c>
      <c r="S360" s="71" t="n">
        <f aca="false">R360+S355-S357</f>
        <v>0</v>
      </c>
      <c r="T360" s="71" t="n">
        <f aca="false">S360+T355-T357</f>
        <v>0</v>
      </c>
      <c r="U360" s="71" t="n">
        <f aca="false">T360+U355-U357</f>
        <v>0</v>
      </c>
      <c r="V360" s="71" t="n">
        <f aca="false">U360+V355-V357</f>
        <v>0</v>
      </c>
      <c r="W360" s="71" t="n">
        <f aca="false">V360+W355-W357</f>
        <v>0</v>
      </c>
      <c r="X360" s="71" t="n">
        <f aca="false">W360+X355-X357</f>
        <v>0</v>
      </c>
      <c r="Y360" s="71" t="n">
        <f aca="false">X360+Y355-Y357</f>
        <v>0</v>
      </c>
      <c r="Z360" s="71" t="n">
        <f aca="false">Y360+Z355-Z357</f>
        <v>0</v>
      </c>
      <c r="AA360" s="71" t="n">
        <f aca="false">Z360+AA355-AA357</f>
        <v>0</v>
      </c>
      <c r="AB360" s="71" t="n">
        <f aca="false">AA360+AB355-AB357</f>
        <v>0</v>
      </c>
    </row>
    <row r="361" customFormat="false" ht="15" hidden="false" customHeight="false" outlineLevel="0" collapsed="false">
      <c r="A361" s="29" t="s">
        <v>849</v>
      </c>
      <c r="B361" s="60" t="s">
        <v>850</v>
      </c>
      <c r="C361" s="61" t="n">
        <f aca="false">P361</f>
        <v>0</v>
      </c>
      <c r="D361" s="61" t="n">
        <f aca="false">AB361</f>
        <v>0</v>
      </c>
      <c r="E361" s="62" t="n">
        <f aca="false">MAX(0,Engagement_Register!$AP$27-E354)</f>
        <v>120000</v>
      </c>
      <c r="F361" s="62" t="n">
        <f aca="false">MAX(0,Engagement_Register!$AP$27-F354)</f>
        <v>120000</v>
      </c>
      <c r="G361" s="62" t="n">
        <f aca="false">MAX(0,Engagement_Register!$AP$27-G354)</f>
        <v>120000</v>
      </c>
      <c r="H361" s="62" t="n">
        <f aca="false">MAX(0,Engagement_Register!$AP$27-H354)</f>
        <v>120000</v>
      </c>
      <c r="I361" s="62" t="n">
        <f aca="false">MAX(0,Engagement_Register!$AP$27-I354)</f>
        <v>120000</v>
      </c>
      <c r="J361" s="62" t="n">
        <f aca="false">MAX(0,Engagement_Register!$AP$27-J354)</f>
        <v>120000</v>
      </c>
      <c r="K361" s="62" t="n">
        <f aca="false">MAX(0,Engagement_Register!$AP$27-K354)</f>
        <v>120000</v>
      </c>
      <c r="L361" s="62" t="n">
        <f aca="false">MAX(0,Engagement_Register!$AP$27-L354)</f>
        <v>120000</v>
      </c>
      <c r="M361" s="62" t="n">
        <f aca="false">MAX(0,Engagement_Register!$AP$27-M354)</f>
        <v>120000</v>
      </c>
      <c r="N361" s="62" t="n">
        <f aca="false">MAX(0,Engagement_Register!$AP$27-N354)</f>
        <v>80072.3327305606</v>
      </c>
      <c r="O361" s="62" t="n">
        <f aca="false">MAX(0,Engagement_Register!$AP$27-O354)</f>
        <v>40578.6618444846</v>
      </c>
      <c r="P361" s="62" t="n">
        <f aca="false">MAX(0,Engagement_Register!$AP$27-P354)</f>
        <v>0</v>
      </c>
      <c r="Q361" s="62" t="n">
        <f aca="false">MAX(0,Engagement_Register!$AP$27-Q354)</f>
        <v>0</v>
      </c>
      <c r="R361" s="62" t="n">
        <f aca="false">MAX(0,Engagement_Register!$AP$27-R354)</f>
        <v>0</v>
      </c>
      <c r="S361" s="62" t="n">
        <f aca="false">MAX(0,Engagement_Register!$AP$27-S354)</f>
        <v>0</v>
      </c>
      <c r="T361" s="62" t="n">
        <f aca="false">MAX(0,Engagement_Register!$AP$27-T354)</f>
        <v>0</v>
      </c>
      <c r="U361" s="62" t="n">
        <f aca="false">MAX(0,Engagement_Register!$AP$27-U354)</f>
        <v>0</v>
      </c>
      <c r="V361" s="62" t="n">
        <f aca="false">MAX(0,Engagement_Register!$AP$27-V354)</f>
        <v>0</v>
      </c>
      <c r="W361" s="62" t="n">
        <f aca="false">MAX(0,Engagement_Register!$AP$27-W354)</f>
        <v>0</v>
      </c>
      <c r="X361" s="62" t="n">
        <f aca="false">MAX(0,Engagement_Register!$AP$27-X354)</f>
        <v>0</v>
      </c>
      <c r="Y361" s="62" t="n">
        <f aca="false">MAX(0,Engagement_Register!$AP$27-Y354)</f>
        <v>0</v>
      </c>
      <c r="Z361" s="62" t="n">
        <f aca="false">MAX(0,Engagement_Register!$AP$27-Z354)</f>
        <v>0</v>
      </c>
      <c r="AA361" s="62" t="n">
        <f aca="false">MAX(0,Engagement_Register!$AP$27-AA354)</f>
        <v>0</v>
      </c>
      <c r="AB361" s="62" t="n">
        <f aca="false">MAX(0,Engagement_Register!$AP$27-AB354)</f>
        <v>0</v>
      </c>
    </row>
    <row r="363" customFormat="false" ht="15" hidden="false" customHeight="false" outlineLevel="0" collapsed="false">
      <c r="A363" s="23" t="s">
        <v>887</v>
      </c>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row>
    <row r="364" customFormat="false" ht="15" hidden="false" customHeight="false" outlineLevel="0" collapsed="false">
      <c r="A364" s="29" t="s">
        <v>736</v>
      </c>
      <c r="B364" s="60" t="s">
        <v>832</v>
      </c>
      <c r="C364" s="66" t="n">
        <f aca="false">P364</f>
        <v>464.045454545455</v>
      </c>
      <c r="D364" s="66" t="n">
        <f aca="false">AB364</f>
        <v>1328</v>
      </c>
      <c r="E364" s="67" t="n">
        <f aca="false">Engagement_Register!$T$28+E30</f>
        <v>0</v>
      </c>
      <c r="F364" s="72" t="n">
        <f aca="false">E364+F30</f>
        <v>0</v>
      </c>
      <c r="G364" s="72" t="n">
        <f aca="false">F364+G30</f>
        <v>0</v>
      </c>
      <c r="H364" s="72" t="n">
        <f aca="false">G364+H30</f>
        <v>0</v>
      </c>
      <c r="I364" s="72" t="n">
        <f aca="false">H364+I30</f>
        <v>0</v>
      </c>
      <c r="J364" s="72" t="n">
        <f aca="false">I364+J30</f>
        <v>0</v>
      </c>
      <c r="K364" s="72" t="n">
        <f aca="false">J364+K30</f>
        <v>0</v>
      </c>
      <c r="L364" s="72" t="n">
        <f aca="false">K364+L30</f>
        <v>0</v>
      </c>
      <c r="M364" s="72" t="n">
        <f aca="false">L364+M30</f>
        <v>0</v>
      </c>
      <c r="N364" s="72" t="n">
        <f aca="false">M364+N30</f>
        <v>0</v>
      </c>
      <c r="O364" s="72" t="n">
        <f aca="false">N364+O30</f>
        <v>228.878787878788</v>
      </c>
      <c r="P364" s="72" t="n">
        <f aca="false">O364+P30</f>
        <v>464.045454545455</v>
      </c>
      <c r="Q364" s="72" t="n">
        <f aca="false">P364+Q30</f>
        <v>665.257575757576</v>
      </c>
      <c r="R364" s="72" t="n">
        <f aca="false">Q364+R30</f>
        <v>872.757575757576</v>
      </c>
      <c r="S364" s="72" t="n">
        <f aca="false">R364+S30</f>
        <v>1095.34848484848</v>
      </c>
      <c r="T364" s="72" t="n">
        <f aca="false">S364+T30</f>
        <v>1328</v>
      </c>
      <c r="U364" s="72" t="n">
        <f aca="false">T364+U30</f>
        <v>1328</v>
      </c>
      <c r="V364" s="72" t="n">
        <f aca="false">U364+V30</f>
        <v>1328</v>
      </c>
      <c r="W364" s="72" t="n">
        <f aca="false">V364+W30</f>
        <v>1328</v>
      </c>
      <c r="X364" s="72" t="n">
        <f aca="false">W364+X30</f>
        <v>1328</v>
      </c>
      <c r="Y364" s="72" t="n">
        <f aca="false">X364+Y30</f>
        <v>1328</v>
      </c>
      <c r="Z364" s="72" t="n">
        <f aca="false">Y364+Z30</f>
        <v>1328</v>
      </c>
      <c r="AA364" s="72" t="n">
        <f aca="false">Z364+AA30</f>
        <v>1328</v>
      </c>
      <c r="AB364" s="72" t="n">
        <f aca="false">AA364+AB30</f>
        <v>1328</v>
      </c>
    </row>
    <row r="365" customFormat="false" ht="15" hidden="false" customHeight="false" outlineLevel="0" collapsed="false">
      <c r="A365" s="29" t="s">
        <v>833</v>
      </c>
      <c r="B365" s="60" t="s">
        <v>834</v>
      </c>
      <c r="C365" s="61" t="n">
        <f aca="false">SUM(E365:P365)</f>
        <v>91277.7409090909</v>
      </c>
      <c r="D365" s="61" t="n">
        <f aca="false">SUM(Q365:AB365)</f>
        <v>176737.453454545</v>
      </c>
      <c r="E365" s="62" t="n">
        <f aca="false">E30*Engagement_Register!$AD$28*Assumptions!E$194</f>
        <v>0</v>
      </c>
      <c r="F365" s="62" t="n">
        <f aca="false">F30*Engagement_Register!$AD$28*Assumptions!F$194</f>
        <v>0</v>
      </c>
      <c r="G365" s="62" t="n">
        <f aca="false">G30*Engagement_Register!$AD$28*Assumptions!G$194</f>
        <v>0</v>
      </c>
      <c r="H365" s="62" t="n">
        <f aca="false">H30*Engagement_Register!$AD$28*Assumptions!H$194</f>
        <v>0</v>
      </c>
      <c r="I365" s="62" t="n">
        <f aca="false">I30*Engagement_Register!$AD$28*Assumptions!I$194</f>
        <v>0</v>
      </c>
      <c r="J365" s="62" t="n">
        <f aca="false">J30*Engagement_Register!$AD$28*Assumptions!J$194</f>
        <v>0</v>
      </c>
      <c r="K365" s="62" t="n">
        <f aca="false">K30*Engagement_Register!$AD$28*Assumptions!K$194</f>
        <v>0</v>
      </c>
      <c r="L365" s="62" t="n">
        <f aca="false">L30*Engagement_Register!$AD$28*Assumptions!L$194</f>
        <v>0</v>
      </c>
      <c r="M365" s="62" t="n">
        <f aca="false">M30*Engagement_Register!$AD$28*Assumptions!M$194</f>
        <v>0</v>
      </c>
      <c r="N365" s="62" t="n">
        <f aca="false">N30*Engagement_Register!$AD$28*Assumptions!N$194</f>
        <v>0</v>
      </c>
      <c r="O365" s="62" t="n">
        <f aca="false">O30*Engagement_Register!$AD$28*Assumptions!O$194</f>
        <v>45020.4575757576</v>
      </c>
      <c r="P365" s="62" t="n">
        <f aca="false">P30*Engagement_Register!$AD$28*Assumptions!P$194</f>
        <v>46257.2833333333</v>
      </c>
      <c r="Q365" s="62" t="n">
        <f aca="false">Q30*Engagement_Register!$AD$28*Assumptions!Q$194</f>
        <v>41161.5612121212</v>
      </c>
      <c r="R365" s="62" t="n">
        <f aca="false">R30*Engagement_Register!$AD$28*Assumptions!R$194</f>
        <v>42447.86</v>
      </c>
      <c r="S365" s="62" t="n">
        <f aca="false">S30*Engagement_Register!$AD$28*Assumptions!S$194</f>
        <v>45534.9770909091</v>
      </c>
      <c r="T365" s="62" t="n">
        <f aca="false">T30*Engagement_Register!$AD$28*Assumptions!T$194</f>
        <v>47593.0551515152</v>
      </c>
      <c r="U365" s="62" t="n">
        <f aca="false">U30*Engagement_Register!$AD$28*Assumptions!U$194</f>
        <v>0</v>
      </c>
      <c r="V365" s="62" t="n">
        <f aca="false">V30*Engagement_Register!$AD$28*Assumptions!V$194</f>
        <v>0</v>
      </c>
      <c r="W365" s="62" t="n">
        <f aca="false">W30*Engagement_Register!$AD$28*Assumptions!W$194</f>
        <v>0</v>
      </c>
      <c r="X365" s="62" t="n">
        <f aca="false">X30*Engagement_Register!$AD$28*Assumptions!X$194</f>
        <v>0</v>
      </c>
      <c r="Y365" s="62" t="n">
        <f aca="false">Y30*Engagement_Register!$AD$28*Assumptions!Y$194</f>
        <v>0</v>
      </c>
      <c r="Z365" s="62" t="n">
        <f aca="false">Z30*Engagement_Register!$AD$28*Assumptions!Z$194</f>
        <v>0</v>
      </c>
      <c r="AA365" s="62" t="n">
        <f aca="false">AA30*Engagement_Register!$AD$28*Assumptions!AA$194</f>
        <v>0</v>
      </c>
      <c r="AB365" s="62" t="n">
        <f aca="false">AB30*Engagement_Register!$AD$28*Assumptions!AB$194</f>
        <v>0</v>
      </c>
    </row>
    <row r="366" customFormat="false" ht="15" hidden="false" customHeight="false" outlineLevel="0" collapsed="false">
      <c r="A366" s="29" t="s">
        <v>835</v>
      </c>
      <c r="B366" s="60" t="s">
        <v>836</v>
      </c>
      <c r="C366" s="61" t="n">
        <f aca="false">SUM(E366:P366)</f>
        <v>84888.2990454546</v>
      </c>
      <c r="D366" s="61" t="n">
        <f aca="false">SUM(Q366:AB366)</f>
        <v>164365.831712727</v>
      </c>
      <c r="E366" s="62" t="n">
        <f aca="false">E30*Engagement_Register!$AE$28*Assumptions!E$194</f>
        <v>0</v>
      </c>
      <c r="F366" s="62" t="n">
        <f aca="false">F30*Engagement_Register!$AE$28*Assumptions!F$194</f>
        <v>0</v>
      </c>
      <c r="G366" s="62" t="n">
        <f aca="false">G30*Engagement_Register!$AE$28*Assumptions!G$194</f>
        <v>0</v>
      </c>
      <c r="H366" s="62" t="n">
        <f aca="false">H30*Engagement_Register!$AE$28*Assumptions!H$194</f>
        <v>0</v>
      </c>
      <c r="I366" s="62" t="n">
        <f aca="false">I30*Engagement_Register!$AE$28*Assumptions!I$194</f>
        <v>0</v>
      </c>
      <c r="J366" s="62" t="n">
        <f aca="false">J30*Engagement_Register!$AE$28*Assumptions!J$194</f>
        <v>0</v>
      </c>
      <c r="K366" s="62" t="n">
        <f aca="false">K30*Engagement_Register!$AE$28*Assumptions!K$194</f>
        <v>0</v>
      </c>
      <c r="L366" s="62" t="n">
        <f aca="false">L30*Engagement_Register!$AE$28*Assumptions!L$194</f>
        <v>0</v>
      </c>
      <c r="M366" s="62" t="n">
        <f aca="false">M30*Engagement_Register!$AE$28*Assumptions!M$194</f>
        <v>0</v>
      </c>
      <c r="N366" s="62" t="n">
        <f aca="false">N30*Engagement_Register!$AE$28*Assumptions!N$194</f>
        <v>0</v>
      </c>
      <c r="O366" s="62" t="n">
        <f aca="false">O30*Engagement_Register!$AE$28*Assumptions!O$194</f>
        <v>41869.0255454546</v>
      </c>
      <c r="P366" s="62" t="n">
        <f aca="false">P30*Engagement_Register!$AE$28*Assumptions!P$194</f>
        <v>43019.2735</v>
      </c>
      <c r="Q366" s="62" t="n">
        <f aca="false">Q30*Engagement_Register!$AE$28*Assumptions!Q$194</f>
        <v>38280.2519272727</v>
      </c>
      <c r="R366" s="62" t="n">
        <f aca="false">R30*Engagement_Register!$AE$28*Assumptions!R$194</f>
        <v>39476.5098</v>
      </c>
      <c r="S366" s="62" t="n">
        <f aca="false">S30*Engagement_Register!$AE$28*Assumptions!S$194</f>
        <v>42347.5286945455</v>
      </c>
      <c r="T366" s="62" t="n">
        <f aca="false">T30*Engagement_Register!$AE$28*Assumptions!T$194</f>
        <v>44261.5412909091</v>
      </c>
      <c r="U366" s="62" t="n">
        <f aca="false">U30*Engagement_Register!$AE$28*Assumptions!U$194</f>
        <v>0</v>
      </c>
      <c r="V366" s="62" t="n">
        <f aca="false">V30*Engagement_Register!$AE$28*Assumptions!V$194</f>
        <v>0</v>
      </c>
      <c r="W366" s="62" t="n">
        <f aca="false">W30*Engagement_Register!$AE$28*Assumptions!W$194</f>
        <v>0</v>
      </c>
      <c r="X366" s="62" t="n">
        <f aca="false">X30*Engagement_Register!$AE$28*Assumptions!X$194</f>
        <v>0</v>
      </c>
      <c r="Y366" s="62" t="n">
        <f aca="false">Y30*Engagement_Register!$AE$28*Assumptions!Y$194</f>
        <v>0</v>
      </c>
      <c r="Z366" s="62" t="n">
        <f aca="false">Z30*Engagement_Register!$AE$28*Assumptions!Z$194</f>
        <v>0</v>
      </c>
      <c r="AA366" s="62" t="n">
        <f aca="false">AA30*Engagement_Register!$AE$28*Assumptions!AA$194</f>
        <v>0</v>
      </c>
      <c r="AB366" s="62" t="n">
        <f aca="false">AB30*Engagement_Register!$AE$28*Assumptions!AB$194</f>
        <v>0</v>
      </c>
    </row>
    <row r="367" customFormat="false" ht="15" hidden="false" customHeight="false" outlineLevel="0" collapsed="false">
      <c r="A367" s="68" t="s">
        <v>349</v>
      </c>
      <c r="B367" s="69" t="s">
        <v>837</v>
      </c>
      <c r="C367" s="70" t="n">
        <f aca="false">SUM(E367:P367)</f>
        <v>82341.6500740909</v>
      </c>
      <c r="D367" s="70" t="n">
        <f aca="false">SUM(Q367:AB367)</f>
        <v>159434.856761345</v>
      </c>
      <c r="E367" s="74" t="n">
        <f aca="false">IF(E$5="A",0,E366*(1-Engagement_Register!$AS$28))</f>
        <v>0</v>
      </c>
      <c r="F367" s="74" t="n">
        <f aca="false">IF(F$5="A",0,F366*(1-Engagement_Register!$AS$28))</f>
        <v>0</v>
      </c>
      <c r="G367" s="74" t="n">
        <f aca="false">IF(G$5="A",0,G366*(1-Engagement_Register!$AS$28))</f>
        <v>0</v>
      </c>
      <c r="H367" s="74" t="n">
        <f aca="false">IF(H$5="A",0,H366*(1-Engagement_Register!$AS$28))</f>
        <v>0</v>
      </c>
      <c r="I367" s="74" t="n">
        <f aca="false">IF(I$5="A",0,I366*(1-Engagement_Register!$AS$28))</f>
        <v>0</v>
      </c>
      <c r="J367" s="74" t="n">
        <f aca="false">IF(J$5="A",0,J366*(1-Engagement_Register!$AS$28))</f>
        <v>0</v>
      </c>
      <c r="K367" s="74" t="n">
        <f aca="false">IF(K$5="A",0,K366*(1-Engagement_Register!$AS$28))</f>
        <v>0</v>
      </c>
      <c r="L367" s="74" t="n">
        <f aca="false">IF(L$5="A",0,L366*(1-Engagement_Register!$AS$28))</f>
        <v>0</v>
      </c>
      <c r="M367" s="74" t="n">
        <f aca="false">IF(M$5="A",0,M366*(1-Engagement_Register!$AS$28))</f>
        <v>0</v>
      </c>
      <c r="N367" s="74" t="n">
        <f aca="false">IF(N$5="A",0,N366*(1-Engagement_Register!$AS$28))</f>
        <v>0</v>
      </c>
      <c r="O367" s="74" t="n">
        <f aca="false">IF(O$5="A",0,O366*(1-Engagement_Register!$AS$28))</f>
        <v>40612.9547790909</v>
      </c>
      <c r="P367" s="74" t="n">
        <f aca="false">IF(P$5="A",0,P366*(1-Engagement_Register!$AS$28))</f>
        <v>41728.695295</v>
      </c>
      <c r="Q367" s="74" t="n">
        <f aca="false">IF(Q$5="A",0,Q366*(1-Engagement_Register!$AS$28))</f>
        <v>37131.8443694546</v>
      </c>
      <c r="R367" s="74" t="n">
        <f aca="false">IF(R$5="A",0,R366*(1-Engagement_Register!$AS$28))</f>
        <v>38292.214506</v>
      </c>
      <c r="S367" s="74" t="n">
        <f aca="false">IF(S$5="A",0,S366*(1-Engagement_Register!$AS$28))</f>
        <v>41077.1028337091</v>
      </c>
      <c r="T367" s="74" t="n">
        <f aca="false">IF(T$5="A",0,T366*(1-Engagement_Register!$AS$28))</f>
        <v>42933.6950521818</v>
      </c>
      <c r="U367" s="74" t="n">
        <f aca="false">IF(U$5="A",0,U366*(1-Engagement_Register!$AS$28))</f>
        <v>0</v>
      </c>
      <c r="V367" s="74" t="n">
        <f aca="false">IF(V$5="A",0,V366*(1-Engagement_Register!$AS$28))</f>
        <v>0</v>
      </c>
      <c r="W367" s="74" t="n">
        <f aca="false">IF(W$5="A",0,W366*(1-Engagement_Register!$AS$28))</f>
        <v>0</v>
      </c>
      <c r="X367" s="74" t="n">
        <f aca="false">IF(X$5="A",0,X366*(1-Engagement_Register!$AS$28))</f>
        <v>0</v>
      </c>
      <c r="Y367" s="74" t="n">
        <f aca="false">IF(Y$5="A",0,Y366*(1-Engagement_Register!$AS$28))</f>
        <v>0</v>
      </c>
      <c r="Z367" s="74" t="n">
        <f aca="false">IF(Z$5="A",0,Z366*(1-Engagement_Register!$AS$28))</f>
        <v>0</v>
      </c>
      <c r="AA367" s="74" t="n">
        <f aca="false">IF(AA$5="A",0,AA366*(1-Engagement_Register!$AS$28))</f>
        <v>0</v>
      </c>
      <c r="AB367" s="74" t="n">
        <f aca="false">IF(AB$5="A",0,AB366*(1-Engagement_Register!$AS$28))</f>
        <v>0</v>
      </c>
    </row>
    <row r="368" customFormat="false" ht="15" hidden="false" customHeight="false" outlineLevel="0" collapsed="false">
      <c r="A368" s="29" t="s">
        <v>838</v>
      </c>
      <c r="B368" s="60" t="s">
        <v>839</v>
      </c>
      <c r="C368" s="61" t="n">
        <f aca="false">SUM(E368:P368)</f>
        <v>40612.9547790909</v>
      </c>
      <c r="D368" s="61" t="n">
        <f aca="false">SUM(Q368:AB368)</f>
        <v>201163.552056345</v>
      </c>
      <c r="E368" s="71" t="n">
        <f aca="false">IF(E$5="A",0,0)</f>
        <v>0</v>
      </c>
      <c r="F368" s="71" t="n">
        <f aca="false">IF(F$5="A",0,E367)</f>
        <v>0</v>
      </c>
      <c r="G368" s="71" t="n">
        <f aca="false">IF(G$5="A",0,F367)</f>
        <v>0</v>
      </c>
      <c r="H368" s="71" t="n">
        <f aca="false">IF(H$5="A",0,G367)</f>
        <v>0</v>
      </c>
      <c r="I368" s="71" t="n">
        <f aca="false">IF(I$5="A",0,H367)</f>
        <v>0</v>
      </c>
      <c r="J368" s="71" t="n">
        <f aca="false">IF(J$5="A",0,I367)</f>
        <v>0</v>
      </c>
      <c r="K368" s="71" t="n">
        <f aca="false">IF(K$5="A",0,J367)</f>
        <v>0</v>
      </c>
      <c r="L368" s="71" t="n">
        <f aca="false">IF(L$5="A",0,K367)</f>
        <v>0</v>
      </c>
      <c r="M368" s="71" t="n">
        <f aca="false">IF(M$5="A",0,L367)</f>
        <v>0</v>
      </c>
      <c r="N368" s="71" t="n">
        <f aca="false">IF(N$5="A",0,M367)</f>
        <v>0</v>
      </c>
      <c r="O368" s="71" t="n">
        <f aca="false">IF(O$5="A",0,N367)</f>
        <v>0</v>
      </c>
      <c r="P368" s="71" t="n">
        <f aca="false">IF(P$5="A",0,O367)</f>
        <v>40612.9547790909</v>
      </c>
      <c r="Q368" s="71" t="n">
        <f aca="false">IF(Q$5="A",0,P367)</f>
        <v>41728.695295</v>
      </c>
      <c r="R368" s="71" t="n">
        <f aca="false">IF(R$5="A",0,Q367)</f>
        <v>37131.8443694546</v>
      </c>
      <c r="S368" s="71" t="n">
        <f aca="false">IF(S$5="A",0,R367)</f>
        <v>38292.214506</v>
      </c>
      <c r="T368" s="71" t="n">
        <f aca="false">IF(T$5="A",0,S367)</f>
        <v>41077.1028337091</v>
      </c>
      <c r="U368" s="71" t="n">
        <f aca="false">IF(U$5="A",0,T367)</f>
        <v>42933.6950521818</v>
      </c>
      <c r="V368" s="71" t="n">
        <f aca="false">IF(V$5="A",0,U367)</f>
        <v>0</v>
      </c>
      <c r="W368" s="71" t="n">
        <f aca="false">IF(W$5="A",0,V367)</f>
        <v>0</v>
      </c>
      <c r="X368" s="71" t="n">
        <f aca="false">IF(X$5="A",0,W367)</f>
        <v>0</v>
      </c>
      <c r="Y368" s="71" t="n">
        <f aca="false">IF(Y$5="A",0,X367)</f>
        <v>0</v>
      </c>
      <c r="Z368" s="71" t="n">
        <f aca="false">IF(Z$5="A",0,Y367)</f>
        <v>0</v>
      </c>
      <c r="AA368" s="71" t="n">
        <f aca="false">IF(AA$5="A",0,Z367)</f>
        <v>0</v>
      </c>
      <c r="AB368" s="71" t="n">
        <f aca="false">IF(AB$5="A",0,AA367)</f>
        <v>0</v>
      </c>
    </row>
    <row r="369" customFormat="false" ht="15" hidden="false" customHeight="false" outlineLevel="0" collapsed="false">
      <c r="A369" s="29" t="s">
        <v>840</v>
      </c>
      <c r="B369" s="60"/>
      <c r="C369" s="61" t="n">
        <f aca="false">P369</f>
        <v>40612.9547790909</v>
      </c>
      <c r="D369" s="61" t="n">
        <f aca="false">AB369</f>
        <v>241776.506835436</v>
      </c>
      <c r="E369" s="62" t="n">
        <f aca="false">Engagement_Register!$V$28+E368</f>
        <v>0</v>
      </c>
      <c r="F369" s="71" t="n">
        <f aca="false">E369+F368</f>
        <v>0</v>
      </c>
      <c r="G369" s="71" t="n">
        <f aca="false">F369+G368</f>
        <v>0</v>
      </c>
      <c r="H369" s="71" t="n">
        <f aca="false">G369+H368</f>
        <v>0</v>
      </c>
      <c r="I369" s="71" t="n">
        <f aca="false">H369+I368</f>
        <v>0</v>
      </c>
      <c r="J369" s="71" t="n">
        <f aca="false">I369+J368</f>
        <v>0</v>
      </c>
      <c r="K369" s="71" t="n">
        <f aca="false">J369+K368</f>
        <v>0</v>
      </c>
      <c r="L369" s="71" t="n">
        <f aca="false">K369+L368</f>
        <v>0</v>
      </c>
      <c r="M369" s="71" t="n">
        <f aca="false">L369+M368</f>
        <v>0</v>
      </c>
      <c r="N369" s="71" t="n">
        <f aca="false">M369+N368</f>
        <v>0</v>
      </c>
      <c r="O369" s="71" t="n">
        <f aca="false">N369+O368</f>
        <v>0</v>
      </c>
      <c r="P369" s="71" t="n">
        <f aca="false">O369+P368</f>
        <v>40612.9547790909</v>
      </c>
      <c r="Q369" s="71" t="n">
        <f aca="false">P369+Q368</f>
        <v>82341.6500740909</v>
      </c>
      <c r="R369" s="71" t="n">
        <f aca="false">Q369+R368</f>
        <v>119473.494443545</v>
      </c>
      <c r="S369" s="71" t="n">
        <f aca="false">R369+S368</f>
        <v>157765.708949545</v>
      </c>
      <c r="T369" s="71" t="n">
        <f aca="false">S369+T368</f>
        <v>198842.811783255</v>
      </c>
      <c r="U369" s="71" t="n">
        <f aca="false">T369+U368</f>
        <v>241776.506835436</v>
      </c>
      <c r="V369" s="71" t="n">
        <f aca="false">U369+V368</f>
        <v>241776.506835436</v>
      </c>
      <c r="W369" s="71" t="n">
        <f aca="false">V369+W368</f>
        <v>241776.506835436</v>
      </c>
      <c r="X369" s="71" t="n">
        <f aca="false">W369+X368</f>
        <v>241776.506835436</v>
      </c>
      <c r="Y369" s="71" t="n">
        <f aca="false">X369+Y368</f>
        <v>241776.506835436</v>
      </c>
      <c r="Z369" s="71" t="n">
        <f aca="false">Y369+Z368</f>
        <v>241776.506835436</v>
      </c>
      <c r="AA369" s="71" t="n">
        <f aca="false">Z369+AA368</f>
        <v>241776.506835436</v>
      </c>
      <c r="AB369" s="71" t="n">
        <f aca="false">AA369+AB368</f>
        <v>241776.506835436</v>
      </c>
    </row>
    <row r="370" customFormat="false" ht="15" hidden="false" customHeight="false" outlineLevel="0" collapsed="false">
      <c r="A370" s="29" t="s">
        <v>841</v>
      </c>
      <c r="B370" s="60" t="s">
        <v>842</v>
      </c>
      <c r="C370" s="61" t="n">
        <f aca="false">SUM(E370:P370)</f>
        <v>4176.40909090909</v>
      </c>
      <c r="D370" s="61" t="n">
        <f aca="false">SUM(Q370:AB370)</f>
        <v>8008.85863636364</v>
      </c>
      <c r="E370" s="62" t="n">
        <f aca="false">IF(E$5="A",0,E30*Engagement_Register!$N$28*Assumptions!E$195)</f>
        <v>0</v>
      </c>
      <c r="F370" s="62" t="n">
        <f aca="false">IF(F$5="A",0,F30*Engagement_Register!$N$28*Assumptions!F$195)</f>
        <v>0</v>
      </c>
      <c r="G370" s="62" t="n">
        <f aca="false">IF(G$5="A",0,G30*Engagement_Register!$N$28*Assumptions!G$195)</f>
        <v>0</v>
      </c>
      <c r="H370" s="62" t="n">
        <f aca="false">IF(H$5="A",0,H30*Engagement_Register!$N$28*Assumptions!H$195)</f>
        <v>0</v>
      </c>
      <c r="I370" s="62" t="n">
        <f aca="false">IF(I$5="A",0,I30*Engagement_Register!$N$28*Assumptions!I$195)</f>
        <v>0</v>
      </c>
      <c r="J370" s="62" t="n">
        <f aca="false">IF(J$5="A",0,J30*Engagement_Register!$N$28*Assumptions!J$195)</f>
        <v>0</v>
      </c>
      <c r="K370" s="62" t="n">
        <f aca="false">IF(K$5="A",0,K30*Engagement_Register!$N$28*Assumptions!K$195)</f>
        <v>0</v>
      </c>
      <c r="L370" s="62" t="n">
        <f aca="false">IF(L$5="A",0,L30*Engagement_Register!$N$28*Assumptions!L$195)</f>
        <v>0</v>
      </c>
      <c r="M370" s="62" t="n">
        <f aca="false">IF(M$5="A",0,M30*Engagement_Register!$N$28*Assumptions!M$195)</f>
        <v>0</v>
      </c>
      <c r="N370" s="62" t="n">
        <f aca="false">IF(N$5="A",0,N30*Engagement_Register!$N$28*Assumptions!N$195)</f>
        <v>0</v>
      </c>
      <c r="O370" s="62" t="n">
        <f aca="false">IF(O$5="A",0,O30*Engagement_Register!$N$28*Assumptions!O$195)</f>
        <v>2059.90909090909</v>
      </c>
      <c r="P370" s="62" t="n">
        <f aca="false">IF(P$5="A",0,P30*Engagement_Register!$N$28*Assumptions!P$195)</f>
        <v>2116.5</v>
      </c>
      <c r="Q370" s="62" t="n">
        <f aca="false">IF(Q$5="A",0,Q30*Engagement_Register!$N$28*Assumptions!Q$195)</f>
        <v>1865.23636363636</v>
      </c>
      <c r="R370" s="62" t="n">
        <f aca="false">IF(R$5="A",0,R30*Engagement_Register!$N$28*Assumptions!R$195)</f>
        <v>1923.525</v>
      </c>
      <c r="S370" s="62" t="n">
        <f aca="false">IF(S$5="A",0,S30*Engagement_Register!$N$28*Assumptions!S$195)</f>
        <v>2063.41772727273</v>
      </c>
      <c r="T370" s="62" t="n">
        <f aca="false">IF(T$5="A",0,T30*Engagement_Register!$N$28*Assumptions!T$195)</f>
        <v>2156.67954545455</v>
      </c>
      <c r="U370" s="62" t="n">
        <f aca="false">IF(U$5="A",0,U30*Engagement_Register!$N$28*Assumptions!U$195)</f>
        <v>0</v>
      </c>
      <c r="V370" s="62" t="n">
        <f aca="false">IF(V$5="A",0,V30*Engagement_Register!$N$28*Assumptions!V$195)</f>
        <v>0</v>
      </c>
      <c r="W370" s="62" t="n">
        <f aca="false">IF(W$5="A",0,W30*Engagement_Register!$N$28*Assumptions!W$195)</f>
        <v>0</v>
      </c>
      <c r="X370" s="62" t="n">
        <f aca="false">IF(X$5="A",0,X30*Engagement_Register!$N$28*Assumptions!X$195)</f>
        <v>0</v>
      </c>
      <c r="Y370" s="62" t="n">
        <f aca="false">IF(Y$5="A",0,Y30*Engagement_Register!$N$28*Assumptions!Y$195)</f>
        <v>0</v>
      </c>
      <c r="Z370" s="62" t="n">
        <f aca="false">IF(Z$5="A",0,Z30*Engagement_Register!$N$28*Assumptions!Z$195)</f>
        <v>0</v>
      </c>
      <c r="AA370" s="62" t="n">
        <f aca="false">IF(AA$5="A",0,AA30*Engagement_Register!$N$28*Assumptions!AA$195)</f>
        <v>0</v>
      </c>
      <c r="AB370" s="62" t="n">
        <f aca="false">IF(AB$5="A",0,AB30*Engagement_Register!$N$28*Assumptions!AB$195)</f>
        <v>0</v>
      </c>
    </row>
    <row r="371" customFormat="false" ht="15" hidden="false" customHeight="false" outlineLevel="0" collapsed="false">
      <c r="A371" s="29" t="s">
        <v>843</v>
      </c>
      <c r="B371" s="60" t="s">
        <v>844</v>
      </c>
      <c r="C371" s="61" t="n">
        <f aca="false">SUM(E371:P371)</f>
        <v>4176.40909090909</v>
      </c>
      <c r="D371" s="61" t="n">
        <f aca="false">SUM(Q371:AB371)</f>
        <v>8008.85863636364</v>
      </c>
      <c r="E371" s="71" t="n">
        <f aca="false">E370</f>
        <v>0</v>
      </c>
      <c r="F371" s="71" t="n">
        <f aca="false">F370</f>
        <v>0</v>
      </c>
      <c r="G371" s="71" t="n">
        <f aca="false">G370</f>
        <v>0</v>
      </c>
      <c r="H371" s="71" t="n">
        <f aca="false">H370</f>
        <v>0</v>
      </c>
      <c r="I371" s="71" t="n">
        <f aca="false">I370</f>
        <v>0</v>
      </c>
      <c r="J371" s="71" t="n">
        <f aca="false">J370</f>
        <v>0</v>
      </c>
      <c r="K371" s="71" t="n">
        <f aca="false">K370</f>
        <v>0</v>
      </c>
      <c r="L371" s="71" t="n">
        <f aca="false">L370</f>
        <v>0</v>
      </c>
      <c r="M371" s="71" t="n">
        <f aca="false">M370</f>
        <v>0</v>
      </c>
      <c r="N371" s="71" t="n">
        <f aca="false">N370</f>
        <v>0</v>
      </c>
      <c r="O371" s="71" t="n">
        <f aca="false">O370</f>
        <v>2059.90909090909</v>
      </c>
      <c r="P371" s="71" t="n">
        <f aca="false">P370</f>
        <v>2116.5</v>
      </c>
      <c r="Q371" s="71" t="n">
        <f aca="false">Q370</f>
        <v>1865.23636363636</v>
      </c>
      <c r="R371" s="71" t="n">
        <f aca="false">R370</f>
        <v>1923.525</v>
      </c>
      <c r="S371" s="71" t="n">
        <f aca="false">S370</f>
        <v>2063.41772727273</v>
      </c>
      <c r="T371" s="71" t="n">
        <f aca="false">T370</f>
        <v>2156.67954545455</v>
      </c>
      <c r="U371" s="71" t="n">
        <f aca="false">U370</f>
        <v>0</v>
      </c>
      <c r="V371" s="71" t="n">
        <f aca="false">V370</f>
        <v>0</v>
      </c>
      <c r="W371" s="71" t="n">
        <f aca="false">W370</f>
        <v>0</v>
      </c>
      <c r="X371" s="71" t="n">
        <f aca="false">X370</f>
        <v>0</v>
      </c>
      <c r="Y371" s="71" t="n">
        <f aca="false">Y370</f>
        <v>0</v>
      </c>
      <c r="Z371" s="71" t="n">
        <f aca="false">Z370</f>
        <v>0</v>
      </c>
      <c r="AA371" s="71" t="n">
        <f aca="false">AA370</f>
        <v>0</v>
      </c>
      <c r="AB371" s="71" t="n">
        <f aca="false">AB370</f>
        <v>0</v>
      </c>
    </row>
    <row r="372" customFormat="false" ht="15" hidden="false" customHeight="false" outlineLevel="0" collapsed="false">
      <c r="A372" s="29" t="s">
        <v>845</v>
      </c>
      <c r="B372" s="60" t="s">
        <v>846</v>
      </c>
      <c r="C372" s="61" t="n">
        <f aca="false">SUM(E372:P372)</f>
        <v>2059.90909090909</v>
      </c>
      <c r="D372" s="61" t="n">
        <f aca="false">SUM(Q372:AB372)</f>
        <v>10125.3586363636</v>
      </c>
      <c r="E372" s="71" t="n">
        <f aca="false">IF(E$5="A",0,0)</f>
        <v>0</v>
      </c>
      <c r="F372" s="71" t="n">
        <f aca="false">IF(F$5="A",0,E371)</f>
        <v>0</v>
      </c>
      <c r="G372" s="71" t="n">
        <f aca="false">IF(G$5="A",0,F371)</f>
        <v>0</v>
      </c>
      <c r="H372" s="71" t="n">
        <f aca="false">IF(H$5="A",0,G371)</f>
        <v>0</v>
      </c>
      <c r="I372" s="71" t="n">
        <f aca="false">IF(I$5="A",0,H371)</f>
        <v>0</v>
      </c>
      <c r="J372" s="71" t="n">
        <f aca="false">IF(J$5="A",0,I371)</f>
        <v>0</v>
      </c>
      <c r="K372" s="71" t="n">
        <f aca="false">IF(K$5="A",0,J371)</f>
        <v>0</v>
      </c>
      <c r="L372" s="71" t="n">
        <f aca="false">IF(L$5="A",0,K371)</f>
        <v>0</v>
      </c>
      <c r="M372" s="71" t="n">
        <f aca="false">IF(M$5="A",0,L371)</f>
        <v>0</v>
      </c>
      <c r="N372" s="71" t="n">
        <f aca="false">IF(N$5="A",0,M371)</f>
        <v>0</v>
      </c>
      <c r="O372" s="71" t="n">
        <f aca="false">IF(O$5="A",0,N371)</f>
        <v>0</v>
      </c>
      <c r="P372" s="71" t="n">
        <f aca="false">IF(P$5="A",0,O371)</f>
        <v>2059.90909090909</v>
      </c>
      <c r="Q372" s="71" t="n">
        <f aca="false">IF(Q$5="A",0,P371)</f>
        <v>2116.5</v>
      </c>
      <c r="R372" s="71" t="n">
        <f aca="false">IF(R$5="A",0,Q371)</f>
        <v>1865.23636363636</v>
      </c>
      <c r="S372" s="71" t="n">
        <f aca="false">IF(S$5="A",0,R371)</f>
        <v>1923.525</v>
      </c>
      <c r="T372" s="71" t="n">
        <f aca="false">IF(T$5="A",0,S371)</f>
        <v>2063.41772727273</v>
      </c>
      <c r="U372" s="71" t="n">
        <f aca="false">IF(U$5="A",0,T371)</f>
        <v>2156.67954545455</v>
      </c>
      <c r="V372" s="71" t="n">
        <f aca="false">IF(V$5="A",0,U371)</f>
        <v>0</v>
      </c>
      <c r="W372" s="71" t="n">
        <f aca="false">IF(W$5="A",0,V371)</f>
        <v>0</v>
      </c>
      <c r="X372" s="71" t="n">
        <f aca="false">IF(X$5="A",0,W371)</f>
        <v>0</v>
      </c>
      <c r="Y372" s="71" t="n">
        <f aca="false">IF(Y$5="A",0,X371)</f>
        <v>0</v>
      </c>
      <c r="Z372" s="71" t="n">
        <f aca="false">IF(Z$5="A",0,Y371)</f>
        <v>0</v>
      </c>
      <c r="AA372" s="71" t="n">
        <f aca="false">IF(AA$5="A",0,Z371)</f>
        <v>0</v>
      </c>
      <c r="AB372" s="71" t="n">
        <f aca="false">IF(AB$5="A",0,AA371)</f>
        <v>0</v>
      </c>
    </row>
    <row r="373" customFormat="false" ht="15" hidden="false" customHeight="false" outlineLevel="0" collapsed="false">
      <c r="A373" s="29" t="s">
        <v>847</v>
      </c>
      <c r="B373" s="60" t="s">
        <v>848</v>
      </c>
      <c r="C373" s="61" t="n">
        <f aca="false">P373</f>
        <v>43845.195295</v>
      </c>
      <c r="D373" s="61" t="n">
        <f aca="false">AB373</f>
        <v>0</v>
      </c>
      <c r="E373" s="62" t="n">
        <f aca="false">Engagement_Register!$X$28+E367+E371-E372-E368</f>
        <v>0</v>
      </c>
      <c r="F373" s="71" t="n">
        <f aca="false">E373+F367+F371-F372-F368</f>
        <v>0</v>
      </c>
      <c r="G373" s="71" t="n">
        <f aca="false">F373+G367+G371-G372-G368</f>
        <v>0</v>
      </c>
      <c r="H373" s="71" t="n">
        <f aca="false">G373+H367+H371-H372-H368</f>
        <v>0</v>
      </c>
      <c r="I373" s="71" t="n">
        <f aca="false">H373+I367+I371-I372-I368</f>
        <v>0</v>
      </c>
      <c r="J373" s="71" t="n">
        <f aca="false">I373+J367+J371-J372-J368</f>
        <v>0</v>
      </c>
      <c r="K373" s="71" t="n">
        <f aca="false">J373+K367+K371-K372-K368</f>
        <v>0</v>
      </c>
      <c r="L373" s="71" t="n">
        <f aca="false">K373+L367+L371-L372-L368</f>
        <v>0</v>
      </c>
      <c r="M373" s="71" t="n">
        <f aca="false">L373+M367+M371-M372-M368</f>
        <v>0</v>
      </c>
      <c r="N373" s="71" t="n">
        <f aca="false">M373+N367+N371-N372-N368</f>
        <v>0</v>
      </c>
      <c r="O373" s="71" t="n">
        <f aca="false">N373+O367+O371-O372-O368</f>
        <v>42672.86387</v>
      </c>
      <c r="P373" s="71" t="n">
        <f aca="false">O373+P367+P371-P372-P368</f>
        <v>43845.195295</v>
      </c>
      <c r="Q373" s="71" t="n">
        <f aca="false">P373+Q367+Q371-Q372-Q368</f>
        <v>38997.0807330909</v>
      </c>
      <c r="R373" s="71" t="n">
        <f aca="false">Q373+R367+R371-R372-R368</f>
        <v>40215.739506</v>
      </c>
      <c r="S373" s="71" t="n">
        <f aca="false">R373+S367+S371-S372-S368</f>
        <v>43140.5205609818</v>
      </c>
      <c r="T373" s="71" t="n">
        <f aca="false">S373+T367+T371-T372-T368</f>
        <v>45090.3745976364</v>
      </c>
      <c r="U373" s="71" t="n">
        <f aca="false">T373+U367+U371-U372-U368</f>
        <v>0</v>
      </c>
      <c r="V373" s="71" t="n">
        <f aca="false">U373+V367+V371-V372-V368</f>
        <v>0</v>
      </c>
      <c r="W373" s="71" t="n">
        <f aca="false">V373+W367+W371-W372-W368</f>
        <v>0</v>
      </c>
      <c r="X373" s="71" t="n">
        <f aca="false">W373+X367+X371-X372-X368</f>
        <v>0</v>
      </c>
      <c r="Y373" s="71" t="n">
        <f aca="false">X373+Y367+Y371-Y372-Y368</f>
        <v>0</v>
      </c>
      <c r="Z373" s="71" t="n">
        <f aca="false">Y373+Z367+Z371-Z372-Z368</f>
        <v>0</v>
      </c>
      <c r="AA373" s="71" t="n">
        <f aca="false">Z373+AA367+AA371-AA372-AA368</f>
        <v>0</v>
      </c>
      <c r="AB373" s="71" t="n">
        <f aca="false">AA373+AB367+AB371-AB372-AB368</f>
        <v>0</v>
      </c>
    </row>
    <row r="374" customFormat="false" ht="15" hidden="false" customHeight="false" outlineLevel="0" collapsed="false">
      <c r="A374" s="29" t="s">
        <v>849</v>
      </c>
      <c r="B374" s="60" t="s">
        <v>850</v>
      </c>
      <c r="C374" s="61" t="n">
        <f aca="false">P374</f>
        <v>153302.746885909</v>
      </c>
      <c r="D374" s="61" t="n">
        <f aca="false">AB374</f>
        <v>0</v>
      </c>
      <c r="E374" s="62" t="n">
        <f aca="false">MAX(0,Engagement_Register!$AM$28-E364)*Engagement_Register!$AE$28*Assumptions!E$194*(1-Engagement_Register!$AS$28)</f>
        <v>235644.39696</v>
      </c>
      <c r="F374" s="62" t="n">
        <f aca="false">MAX(0,Engagement_Register!$AM$28-F364)*Engagement_Register!$AE$28*Assumptions!F$194*(1-Engagement_Register!$AS$28)</f>
        <v>235644.39696</v>
      </c>
      <c r="G374" s="62" t="n">
        <f aca="false">MAX(0,Engagement_Register!$AM$28-G364)*Engagement_Register!$AE$28*Assumptions!G$194*(1-Engagement_Register!$AS$28)</f>
        <v>235644.39696</v>
      </c>
      <c r="H374" s="62" t="n">
        <f aca="false">MAX(0,Engagement_Register!$AM$28-H364)*Engagement_Register!$AE$28*Assumptions!H$194*(1-Engagement_Register!$AS$28)</f>
        <v>235644.39696</v>
      </c>
      <c r="I374" s="62" t="n">
        <f aca="false">MAX(0,Engagement_Register!$AM$28-I364)*Engagement_Register!$AE$28*Assumptions!I$194*(1-Engagement_Register!$AS$28)</f>
        <v>235644.39696</v>
      </c>
      <c r="J374" s="62" t="n">
        <f aca="false">MAX(0,Engagement_Register!$AM$28-J364)*Engagement_Register!$AE$28*Assumptions!J$194*(1-Engagement_Register!$AS$28)</f>
        <v>235644.39696</v>
      </c>
      <c r="K374" s="62" t="n">
        <f aca="false">MAX(0,Engagement_Register!$AM$28-K364)*Engagement_Register!$AE$28*Assumptions!K$194*(1-Engagement_Register!$AS$28)</f>
        <v>235644.39696</v>
      </c>
      <c r="L374" s="62" t="n">
        <f aca="false">MAX(0,Engagement_Register!$AM$28-L364)*Engagement_Register!$AE$28*Assumptions!L$194*(1-Engagement_Register!$AS$28)</f>
        <v>235644.39696</v>
      </c>
      <c r="M374" s="62" t="n">
        <f aca="false">MAX(0,Engagement_Register!$AM$28-M364)*Engagement_Register!$AE$28*Assumptions!M$194*(1-Engagement_Register!$AS$28)</f>
        <v>235644.39696</v>
      </c>
      <c r="N374" s="62" t="n">
        <f aca="false">MAX(0,Engagement_Register!$AM$28-N364)*Engagement_Register!$AE$28*Assumptions!N$194*(1-Engagement_Register!$AS$28)</f>
        <v>235644.39696</v>
      </c>
      <c r="O374" s="62" t="n">
        <f aca="false">MAX(0,Engagement_Register!$AM$28-O364)*Engagement_Register!$AE$28*Assumptions!O$194*(1-Engagement_Register!$AS$28)</f>
        <v>195031.442180909</v>
      </c>
      <c r="P374" s="62" t="n">
        <f aca="false">MAX(0,Engagement_Register!$AM$28-P364)*Engagement_Register!$AE$28*Assumptions!P$194*(1-Engagement_Register!$AS$28)</f>
        <v>153302.746885909</v>
      </c>
      <c r="Q374" s="62" t="n">
        <f aca="false">MAX(0,Engagement_Register!$AM$28-Q364)*Engagement_Register!$AE$28*Assumptions!Q$194*(1-Engagement_Register!$AS$28)</f>
        <v>122303.012391891</v>
      </c>
      <c r="R374" s="62" t="n">
        <f aca="false">MAX(0,Engagement_Register!$AM$28-R364)*Engagement_Register!$AE$28*Assumptions!R$194*(1-Engagement_Register!$AS$28)</f>
        <v>84010.7978858909</v>
      </c>
      <c r="S374" s="62" t="n">
        <f aca="false">MAX(0,Engagement_Register!$AM$28-S364)*Engagement_Register!$AE$28*Assumptions!S$194*(1-Engagement_Register!$AS$28)</f>
        <v>42933.6950521818</v>
      </c>
      <c r="T374" s="62" t="n">
        <f aca="false">MAX(0,Engagement_Register!$AM$28-T364)*Engagement_Register!$AE$28*Assumptions!T$194*(1-Engagement_Register!$AS$28)</f>
        <v>0</v>
      </c>
      <c r="U374" s="62" t="n">
        <f aca="false">MAX(0,Engagement_Register!$AM$28-U364)*Engagement_Register!$AE$28*Assumptions!U$194*(1-Engagement_Register!$AS$28)</f>
        <v>0</v>
      </c>
      <c r="V374" s="62" t="n">
        <f aca="false">MAX(0,Engagement_Register!$AM$28-V364)*Engagement_Register!$AE$28*Assumptions!V$194*(1-Engagement_Register!$AS$28)</f>
        <v>0</v>
      </c>
      <c r="W374" s="62" t="n">
        <f aca="false">MAX(0,Engagement_Register!$AM$28-W364)*Engagement_Register!$AE$28*Assumptions!W$194*(1-Engagement_Register!$AS$28)</f>
        <v>0</v>
      </c>
      <c r="X374" s="62" t="n">
        <f aca="false">MAX(0,Engagement_Register!$AM$28-X364)*Engagement_Register!$AE$28*Assumptions!X$194*(1-Engagement_Register!$AS$28)</f>
        <v>0</v>
      </c>
      <c r="Y374" s="62" t="n">
        <f aca="false">MAX(0,Engagement_Register!$AM$28-Y364)*Engagement_Register!$AE$28*Assumptions!Y$194*(1-Engagement_Register!$AS$28)</f>
        <v>0</v>
      </c>
      <c r="Z374" s="62" t="n">
        <f aca="false">MAX(0,Engagement_Register!$AM$28-Z364)*Engagement_Register!$AE$28*Assumptions!Z$194*(1-Engagement_Register!$AS$28)</f>
        <v>0</v>
      </c>
      <c r="AA374" s="62" t="n">
        <f aca="false">MAX(0,Engagement_Register!$AM$28-AA364)*Engagement_Register!$AE$28*Assumptions!AA$194*(1-Engagement_Register!$AS$28)</f>
        <v>0</v>
      </c>
      <c r="AB374" s="62" t="n">
        <f aca="false">MAX(0,Engagement_Register!$AM$28-AB364)*Engagement_Register!$AE$28*Assumptions!AB$194*(1-Engagement_Register!$AS$28)</f>
        <v>0</v>
      </c>
    </row>
    <row r="376" customFormat="false" ht="15" hidden="false" customHeight="false" outlineLevel="0" collapsed="false">
      <c r="A376" s="23" t="s">
        <v>888</v>
      </c>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row>
    <row r="377" customFormat="false" ht="15" hidden="false" customHeight="false" outlineLevel="0" collapsed="false">
      <c r="A377" s="29" t="s">
        <v>736</v>
      </c>
      <c r="B377" s="60" t="s">
        <v>832</v>
      </c>
      <c r="C377" s="66" t="n">
        <f aca="false">P377</f>
        <v>765.495987158909</v>
      </c>
      <c r="D377" s="66" t="n">
        <f aca="false">AB377</f>
        <v>1282</v>
      </c>
      <c r="E377" s="67" t="n">
        <f aca="false">Engagement_Register!$T$29+E31</f>
        <v>0</v>
      </c>
      <c r="F377" s="72" t="n">
        <f aca="false">E377+F31</f>
        <v>0</v>
      </c>
      <c r="G377" s="72" t="n">
        <f aca="false">F377+G31</f>
        <v>0</v>
      </c>
      <c r="H377" s="72" t="n">
        <f aca="false">G377+H31</f>
        <v>0</v>
      </c>
      <c r="I377" s="72" t="n">
        <f aca="false">H377+I31</f>
        <v>0</v>
      </c>
      <c r="J377" s="72" t="n">
        <f aca="false">I377+J31</f>
        <v>0</v>
      </c>
      <c r="K377" s="72" t="n">
        <f aca="false">J377+K31</f>
        <v>0</v>
      </c>
      <c r="L377" s="72" t="n">
        <f aca="false">K377+L31</f>
        <v>0</v>
      </c>
      <c r="M377" s="72" t="n">
        <f aca="false">L377+M31</f>
        <v>196.518459069021</v>
      </c>
      <c r="N377" s="72" t="n">
        <f aca="false">M377+N31</f>
        <v>385.834670947031</v>
      </c>
      <c r="O377" s="72" t="n">
        <f aca="false">N377+O31</f>
        <v>573.093097913323</v>
      </c>
      <c r="P377" s="72" t="n">
        <f aca="false">O377+P31</f>
        <v>765.495987158909</v>
      </c>
      <c r="Q377" s="72" t="n">
        <f aca="false">P377+Q31</f>
        <v>930.118780096308</v>
      </c>
      <c r="R377" s="72" t="n">
        <f aca="false">Q377+R31</f>
        <v>1099.886035313</v>
      </c>
      <c r="S377" s="72" t="n">
        <f aca="false">R377+S31</f>
        <v>1282</v>
      </c>
      <c r="T377" s="72" t="n">
        <f aca="false">S377+T31</f>
        <v>1282</v>
      </c>
      <c r="U377" s="72" t="n">
        <f aca="false">T377+U31</f>
        <v>1282</v>
      </c>
      <c r="V377" s="72" t="n">
        <f aca="false">U377+V31</f>
        <v>1282</v>
      </c>
      <c r="W377" s="72" t="n">
        <f aca="false">V377+W31</f>
        <v>1282</v>
      </c>
      <c r="X377" s="72" t="n">
        <f aca="false">W377+X31</f>
        <v>1282</v>
      </c>
      <c r="Y377" s="72" t="n">
        <f aca="false">X377+Y31</f>
        <v>1282</v>
      </c>
      <c r="Z377" s="72" t="n">
        <f aca="false">Y377+Z31</f>
        <v>1282</v>
      </c>
      <c r="AA377" s="72" t="n">
        <f aca="false">Z377+AA31</f>
        <v>1282</v>
      </c>
      <c r="AB377" s="72" t="n">
        <f aca="false">AA377+AB31</f>
        <v>1282</v>
      </c>
    </row>
    <row r="378" customFormat="false" ht="15" hidden="false" customHeight="false" outlineLevel="0" collapsed="false">
      <c r="A378" s="29" t="s">
        <v>833</v>
      </c>
      <c r="B378" s="60" t="s">
        <v>834</v>
      </c>
      <c r="C378" s="61" t="n">
        <f aca="false">SUM(E378:P378)</f>
        <v>150573.060674157</v>
      </c>
      <c r="D378" s="61" t="n">
        <f aca="false">SUM(Q378:AB378)</f>
        <v>105660.192898876</v>
      </c>
      <c r="E378" s="62" t="n">
        <f aca="false">E31*Engagement_Register!$AD$29*Assumptions!E$194</f>
        <v>0</v>
      </c>
      <c r="F378" s="62" t="n">
        <f aca="false">F31*Engagement_Register!$AD$29*Assumptions!F$194</f>
        <v>0</v>
      </c>
      <c r="G378" s="62" t="n">
        <f aca="false">G31*Engagement_Register!$AD$29*Assumptions!G$194</f>
        <v>0</v>
      </c>
      <c r="H378" s="62" t="n">
        <f aca="false">H31*Engagement_Register!$AD$29*Assumptions!H$194</f>
        <v>0</v>
      </c>
      <c r="I378" s="62" t="n">
        <f aca="false">I31*Engagement_Register!$AD$29*Assumptions!I$194</f>
        <v>0</v>
      </c>
      <c r="J378" s="62" t="n">
        <f aca="false">J31*Engagement_Register!$AD$29*Assumptions!J$194</f>
        <v>0</v>
      </c>
      <c r="K378" s="62" t="n">
        <f aca="false">K31*Engagement_Register!$AD$29*Assumptions!K$194</f>
        <v>0</v>
      </c>
      <c r="L378" s="62" t="n">
        <f aca="false">L31*Engagement_Register!$AD$29*Assumptions!L$194</f>
        <v>0</v>
      </c>
      <c r="M378" s="62" t="n">
        <f aca="false">M31*Engagement_Register!$AD$29*Assumptions!M$194</f>
        <v>38655.1808988764</v>
      </c>
      <c r="N378" s="62" t="n">
        <f aca="false">N31*Engagement_Register!$AD$29*Assumptions!N$194</f>
        <v>37238.4988764045</v>
      </c>
      <c r="O378" s="62" t="n">
        <f aca="false">O31*Engagement_Register!$AD$29*Assumptions!O$194</f>
        <v>36833.7325842697</v>
      </c>
      <c r="P378" s="62" t="n">
        <f aca="false">P31*Engagement_Register!$AD$29*Assumptions!P$194</f>
        <v>37845.6483146067</v>
      </c>
      <c r="Q378" s="62" t="n">
        <f aca="false">Q31*Engagement_Register!$AD$29*Assumptions!Q$194</f>
        <v>33676.555505618</v>
      </c>
      <c r="R378" s="62" t="n">
        <f aca="false">R31*Engagement_Register!$AD$29*Assumptions!R$194</f>
        <v>34728.9478651685</v>
      </c>
      <c r="S378" s="62" t="n">
        <f aca="false">S31*Engagement_Register!$AD$29*Assumptions!S$194</f>
        <v>37254.6895280899</v>
      </c>
      <c r="T378" s="62" t="n">
        <f aca="false">T31*Engagement_Register!$AD$29*Assumptions!T$194</f>
        <v>0</v>
      </c>
      <c r="U378" s="62" t="n">
        <f aca="false">U31*Engagement_Register!$AD$29*Assumptions!U$194</f>
        <v>0</v>
      </c>
      <c r="V378" s="62" t="n">
        <f aca="false">V31*Engagement_Register!$AD$29*Assumptions!V$194</f>
        <v>0</v>
      </c>
      <c r="W378" s="62" t="n">
        <f aca="false">W31*Engagement_Register!$AD$29*Assumptions!W$194</f>
        <v>0</v>
      </c>
      <c r="X378" s="62" t="n">
        <f aca="false">X31*Engagement_Register!$AD$29*Assumptions!X$194</f>
        <v>0</v>
      </c>
      <c r="Y378" s="62" t="n">
        <f aca="false">Y31*Engagement_Register!$AD$29*Assumptions!Y$194</f>
        <v>0</v>
      </c>
      <c r="Z378" s="62" t="n">
        <f aca="false">Z31*Engagement_Register!$AD$29*Assumptions!Z$194</f>
        <v>0</v>
      </c>
      <c r="AA378" s="62" t="n">
        <f aca="false">AA31*Engagement_Register!$AD$29*Assumptions!AA$194</f>
        <v>0</v>
      </c>
      <c r="AB378" s="62" t="n">
        <f aca="false">AB31*Engagement_Register!$AD$29*Assumptions!AB$194</f>
        <v>0</v>
      </c>
    </row>
    <row r="379" customFormat="false" ht="15" hidden="false" customHeight="false" outlineLevel="0" collapsed="false">
      <c r="A379" s="29" t="s">
        <v>835</v>
      </c>
      <c r="B379" s="60" t="s">
        <v>836</v>
      </c>
      <c r="C379" s="61" t="n">
        <f aca="false">SUM(E379:P379)</f>
        <v>138527.215820225</v>
      </c>
      <c r="D379" s="61" t="n">
        <f aca="false">SUM(Q379:AB379)</f>
        <v>97207.3774669663</v>
      </c>
      <c r="E379" s="62" t="n">
        <f aca="false">E31*Engagement_Register!$AE$29*Assumptions!E$194</f>
        <v>0</v>
      </c>
      <c r="F379" s="62" t="n">
        <f aca="false">F31*Engagement_Register!$AE$29*Assumptions!F$194</f>
        <v>0</v>
      </c>
      <c r="G379" s="62" t="n">
        <f aca="false">G31*Engagement_Register!$AE$29*Assumptions!G$194</f>
        <v>0</v>
      </c>
      <c r="H379" s="62" t="n">
        <f aca="false">H31*Engagement_Register!$AE$29*Assumptions!H$194</f>
        <v>0</v>
      </c>
      <c r="I379" s="62" t="n">
        <f aca="false">I31*Engagement_Register!$AE$29*Assumptions!I$194</f>
        <v>0</v>
      </c>
      <c r="J379" s="62" t="n">
        <f aca="false">J31*Engagement_Register!$AE$29*Assumptions!J$194</f>
        <v>0</v>
      </c>
      <c r="K379" s="62" t="n">
        <f aca="false">K31*Engagement_Register!$AE$29*Assumptions!K$194</f>
        <v>0</v>
      </c>
      <c r="L379" s="62" t="n">
        <f aca="false">L31*Engagement_Register!$AE$29*Assumptions!L$194</f>
        <v>0</v>
      </c>
      <c r="M379" s="62" t="n">
        <f aca="false">M31*Engagement_Register!$AE$29*Assumptions!M$194</f>
        <v>35562.7664269663</v>
      </c>
      <c r="N379" s="62" t="n">
        <f aca="false">N31*Engagement_Register!$AE$29*Assumptions!N$194</f>
        <v>34259.4189662921</v>
      </c>
      <c r="O379" s="62" t="n">
        <f aca="false">O31*Engagement_Register!$AE$29*Assumptions!O$194</f>
        <v>33887.0339775281</v>
      </c>
      <c r="P379" s="62" t="n">
        <f aca="false">P31*Engagement_Register!$AE$29*Assumptions!P$194</f>
        <v>34817.9964494382</v>
      </c>
      <c r="Q379" s="62" t="n">
        <f aca="false">Q31*Engagement_Register!$AE$29*Assumptions!Q$194</f>
        <v>30982.4310651685</v>
      </c>
      <c r="R379" s="62" t="n">
        <f aca="false">R31*Engagement_Register!$AE$29*Assumptions!R$194</f>
        <v>31950.6320359551</v>
      </c>
      <c r="S379" s="62" t="n">
        <f aca="false">S31*Engagement_Register!$AE$29*Assumptions!S$194</f>
        <v>34274.3143658427</v>
      </c>
      <c r="T379" s="62" t="n">
        <f aca="false">T31*Engagement_Register!$AE$29*Assumptions!T$194</f>
        <v>0</v>
      </c>
      <c r="U379" s="62" t="n">
        <f aca="false">U31*Engagement_Register!$AE$29*Assumptions!U$194</f>
        <v>0</v>
      </c>
      <c r="V379" s="62" t="n">
        <f aca="false">V31*Engagement_Register!$AE$29*Assumptions!V$194</f>
        <v>0</v>
      </c>
      <c r="W379" s="62" t="n">
        <f aca="false">W31*Engagement_Register!$AE$29*Assumptions!W$194</f>
        <v>0</v>
      </c>
      <c r="X379" s="62" t="n">
        <f aca="false">X31*Engagement_Register!$AE$29*Assumptions!X$194</f>
        <v>0</v>
      </c>
      <c r="Y379" s="62" t="n">
        <f aca="false">Y31*Engagement_Register!$AE$29*Assumptions!Y$194</f>
        <v>0</v>
      </c>
      <c r="Z379" s="62" t="n">
        <f aca="false">Z31*Engagement_Register!$AE$29*Assumptions!Z$194</f>
        <v>0</v>
      </c>
      <c r="AA379" s="62" t="n">
        <f aca="false">AA31*Engagement_Register!$AE$29*Assumptions!AA$194</f>
        <v>0</v>
      </c>
      <c r="AB379" s="62" t="n">
        <f aca="false">AB31*Engagement_Register!$AE$29*Assumptions!AB$194</f>
        <v>0</v>
      </c>
    </row>
    <row r="380" customFormat="false" ht="15" hidden="false" customHeight="false" outlineLevel="0" collapsed="false">
      <c r="A380" s="68" t="s">
        <v>349</v>
      </c>
      <c r="B380" s="69" t="s">
        <v>837</v>
      </c>
      <c r="C380" s="70" t="n">
        <f aca="false">SUM(E380:P380)</f>
        <v>132986.127187416</v>
      </c>
      <c r="D380" s="70" t="n">
        <f aca="false">SUM(Q380:AB380)</f>
        <v>93319.0823682877</v>
      </c>
      <c r="E380" s="74" t="n">
        <f aca="false">IF(E$5="A",0,E379*(1-Engagement_Register!$AS$29))</f>
        <v>0</v>
      </c>
      <c r="F380" s="74" t="n">
        <f aca="false">IF(F$5="A",0,F379*(1-Engagement_Register!$AS$29))</f>
        <v>0</v>
      </c>
      <c r="G380" s="74" t="n">
        <f aca="false">IF(G$5="A",0,G379*(1-Engagement_Register!$AS$29))</f>
        <v>0</v>
      </c>
      <c r="H380" s="74" t="n">
        <f aca="false">IF(H$5="A",0,H379*(1-Engagement_Register!$AS$29))</f>
        <v>0</v>
      </c>
      <c r="I380" s="74" t="n">
        <f aca="false">IF(I$5="A",0,I379*(1-Engagement_Register!$AS$29))</f>
        <v>0</v>
      </c>
      <c r="J380" s="74" t="n">
        <f aca="false">IF(J$5="A",0,J379*(1-Engagement_Register!$AS$29))</f>
        <v>0</v>
      </c>
      <c r="K380" s="74" t="n">
        <f aca="false">IF(K$5="A",0,K379*(1-Engagement_Register!$AS$29))</f>
        <v>0</v>
      </c>
      <c r="L380" s="74" t="n">
        <f aca="false">IF(L$5="A",0,L379*(1-Engagement_Register!$AS$29))</f>
        <v>0</v>
      </c>
      <c r="M380" s="74" t="n">
        <f aca="false">IF(M$5="A",0,M379*(1-Engagement_Register!$AS$29))</f>
        <v>34140.2557698877</v>
      </c>
      <c r="N380" s="74" t="n">
        <f aca="false">IF(N$5="A",0,N379*(1-Engagement_Register!$AS$29))</f>
        <v>32889.0422076405</v>
      </c>
      <c r="O380" s="74" t="n">
        <f aca="false">IF(O$5="A",0,O379*(1-Engagement_Register!$AS$29))</f>
        <v>32531.552618427</v>
      </c>
      <c r="P380" s="74" t="n">
        <f aca="false">IF(P$5="A",0,P379*(1-Engagement_Register!$AS$29))</f>
        <v>33425.2765914607</v>
      </c>
      <c r="Q380" s="74" t="n">
        <f aca="false">IF(Q$5="A",0,Q379*(1-Engagement_Register!$AS$29))</f>
        <v>29743.1338225618</v>
      </c>
      <c r="R380" s="74" t="n">
        <f aca="false">IF(R$5="A",0,R379*(1-Engagement_Register!$AS$29))</f>
        <v>30672.6067545169</v>
      </c>
      <c r="S380" s="74" t="n">
        <f aca="false">IF(S$5="A",0,S379*(1-Engagement_Register!$AS$29))</f>
        <v>32903.341791209</v>
      </c>
      <c r="T380" s="74" t="n">
        <f aca="false">IF(T$5="A",0,T379*(1-Engagement_Register!$AS$29))</f>
        <v>0</v>
      </c>
      <c r="U380" s="74" t="n">
        <f aca="false">IF(U$5="A",0,U379*(1-Engagement_Register!$AS$29))</f>
        <v>0</v>
      </c>
      <c r="V380" s="74" t="n">
        <f aca="false">IF(V$5="A",0,V379*(1-Engagement_Register!$AS$29))</f>
        <v>0</v>
      </c>
      <c r="W380" s="74" t="n">
        <f aca="false">IF(W$5="A",0,W379*(1-Engagement_Register!$AS$29))</f>
        <v>0</v>
      </c>
      <c r="X380" s="74" t="n">
        <f aca="false">IF(X$5="A",0,X379*(1-Engagement_Register!$AS$29))</f>
        <v>0</v>
      </c>
      <c r="Y380" s="74" t="n">
        <f aca="false">IF(Y$5="A",0,Y379*(1-Engagement_Register!$AS$29))</f>
        <v>0</v>
      </c>
      <c r="Z380" s="74" t="n">
        <f aca="false">IF(Z$5="A",0,Z379*(1-Engagement_Register!$AS$29))</f>
        <v>0</v>
      </c>
      <c r="AA380" s="74" t="n">
        <f aca="false">IF(AA$5="A",0,AA379*(1-Engagement_Register!$AS$29))</f>
        <v>0</v>
      </c>
      <c r="AB380" s="74" t="n">
        <f aca="false">IF(AB$5="A",0,AB379*(1-Engagement_Register!$AS$29))</f>
        <v>0</v>
      </c>
    </row>
    <row r="381" customFormat="false" ht="15" hidden="false" customHeight="false" outlineLevel="0" collapsed="false">
      <c r="A381" s="29" t="s">
        <v>838</v>
      </c>
      <c r="B381" s="60" t="s">
        <v>839</v>
      </c>
      <c r="C381" s="61" t="n">
        <f aca="false">SUM(E381:P381)</f>
        <v>99560.8505959551</v>
      </c>
      <c r="D381" s="61" t="n">
        <f aca="false">SUM(Q381:AB381)</f>
        <v>126744.358959748</v>
      </c>
      <c r="E381" s="71" t="n">
        <f aca="false">IF(E$5="A",0,0)</f>
        <v>0</v>
      </c>
      <c r="F381" s="71" t="n">
        <f aca="false">IF(F$5="A",0,E380)</f>
        <v>0</v>
      </c>
      <c r="G381" s="71" t="n">
        <f aca="false">IF(G$5="A",0,F380)</f>
        <v>0</v>
      </c>
      <c r="H381" s="71" t="n">
        <f aca="false">IF(H$5="A",0,G380)</f>
        <v>0</v>
      </c>
      <c r="I381" s="71" t="n">
        <f aca="false">IF(I$5="A",0,H380)</f>
        <v>0</v>
      </c>
      <c r="J381" s="71" t="n">
        <f aca="false">IF(J$5="A",0,I380)</f>
        <v>0</v>
      </c>
      <c r="K381" s="71" t="n">
        <f aca="false">IF(K$5="A",0,J380)</f>
        <v>0</v>
      </c>
      <c r="L381" s="71" t="n">
        <f aca="false">IF(L$5="A",0,K380)</f>
        <v>0</v>
      </c>
      <c r="M381" s="71" t="n">
        <f aca="false">IF(M$5="A",0,L380)</f>
        <v>0</v>
      </c>
      <c r="N381" s="71" t="n">
        <f aca="false">IF(N$5="A",0,M380)</f>
        <v>34140.2557698877</v>
      </c>
      <c r="O381" s="71" t="n">
        <f aca="false">IF(O$5="A",0,N380)</f>
        <v>32889.0422076405</v>
      </c>
      <c r="P381" s="71" t="n">
        <f aca="false">IF(P$5="A",0,O380)</f>
        <v>32531.552618427</v>
      </c>
      <c r="Q381" s="71" t="n">
        <f aca="false">IF(Q$5="A",0,P380)</f>
        <v>33425.2765914607</v>
      </c>
      <c r="R381" s="71" t="n">
        <f aca="false">IF(R$5="A",0,Q380)</f>
        <v>29743.1338225618</v>
      </c>
      <c r="S381" s="71" t="n">
        <f aca="false">IF(S$5="A",0,R380)</f>
        <v>30672.6067545169</v>
      </c>
      <c r="T381" s="71" t="n">
        <f aca="false">IF(T$5="A",0,S380)</f>
        <v>32903.341791209</v>
      </c>
      <c r="U381" s="71" t="n">
        <f aca="false">IF(U$5="A",0,T380)</f>
        <v>0</v>
      </c>
      <c r="V381" s="71" t="n">
        <f aca="false">IF(V$5="A",0,U380)</f>
        <v>0</v>
      </c>
      <c r="W381" s="71" t="n">
        <f aca="false">IF(W$5="A",0,V380)</f>
        <v>0</v>
      </c>
      <c r="X381" s="71" t="n">
        <f aca="false">IF(X$5="A",0,W380)</f>
        <v>0</v>
      </c>
      <c r="Y381" s="71" t="n">
        <f aca="false">IF(Y$5="A",0,X380)</f>
        <v>0</v>
      </c>
      <c r="Z381" s="71" t="n">
        <f aca="false">IF(Z$5="A",0,Y380)</f>
        <v>0</v>
      </c>
      <c r="AA381" s="71" t="n">
        <f aca="false">IF(AA$5="A",0,Z380)</f>
        <v>0</v>
      </c>
      <c r="AB381" s="71" t="n">
        <f aca="false">IF(AB$5="A",0,AA380)</f>
        <v>0</v>
      </c>
    </row>
    <row r="382" customFormat="false" ht="15" hidden="false" customHeight="false" outlineLevel="0" collapsed="false">
      <c r="A382" s="29" t="s">
        <v>840</v>
      </c>
      <c r="B382" s="60"/>
      <c r="C382" s="61" t="n">
        <f aca="false">P382</f>
        <v>99560.8505959551</v>
      </c>
      <c r="D382" s="61" t="n">
        <f aca="false">AB382</f>
        <v>226305.209555703</v>
      </c>
      <c r="E382" s="62" t="n">
        <f aca="false">Engagement_Register!$V$29+E381</f>
        <v>0</v>
      </c>
      <c r="F382" s="71" t="n">
        <f aca="false">E382+F381</f>
        <v>0</v>
      </c>
      <c r="G382" s="71" t="n">
        <f aca="false">F382+G381</f>
        <v>0</v>
      </c>
      <c r="H382" s="71" t="n">
        <f aca="false">G382+H381</f>
        <v>0</v>
      </c>
      <c r="I382" s="71" t="n">
        <f aca="false">H382+I381</f>
        <v>0</v>
      </c>
      <c r="J382" s="71" t="n">
        <f aca="false">I382+J381</f>
        <v>0</v>
      </c>
      <c r="K382" s="71" t="n">
        <f aca="false">J382+K381</f>
        <v>0</v>
      </c>
      <c r="L382" s="71" t="n">
        <f aca="false">K382+L381</f>
        <v>0</v>
      </c>
      <c r="M382" s="71" t="n">
        <f aca="false">L382+M381</f>
        <v>0</v>
      </c>
      <c r="N382" s="71" t="n">
        <f aca="false">M382+N381</f>
        <v>34140.2557698877</v>
      </c>
      <c r="O382" s="71" t="n">
        <f aca="false">N382+O381</f>
        <v>67029.2979775281</v>
      </c>
      <c r="P382" s="71" t="n">
        <f aca="false">O382+P381</f>
        <v>99560.8505959551</v>
      </c>
      <c r="Q382" s="71" t="n">
        <f aca="false">P382+Q381</f>
        <v>132986.127187416</v>
      </c>
      <c r="R382" s="71" t="n">
        <f aca="false">Q382+R381</f>
        <v>162729.261009978</v>
      </c>
      <c r="S382" s="71" t="n">
        <f aca="false">R382+S381</f>
        <v>193401.867764494</v>
      </c>
      <c r="T382" s="71" t="n">
        <f aca="false">S382+T381</f>
        <v>226305.209555703</v>
      </c>
      <c r="U382" s="71" t="n">
        <f aca="false">T382+U381</f>
        <v>226305.209555703</v>
      </c>
      <c r="V382" s="71" t="n">
        <f aca="false">U382+V381</f>
        <v>226305.209555703</v>
      </c>
      <c r="W382" s="71" t="n">
        <f aca="false">V382+W381</f>
        <v>226305.209555703</v>
      </c>
      <c r="X382" s="71" t="n">
        <f aca="false">W382+X381</f>
        <v>226305.209555703</v>
      </c>
      <c r="Y382" s="71" t="n">
        <f aca="false">X382+Y381</f>
        <v>226305.209555703</v>
      </c>
      <c r="Z382" s="71" t="n">
        <f aca="false">Y382+Z381</f>
        <v>226305.209555703</v>
      </c>
      <c r="AA382" s="71" t="n">
        <f aca="false">Z382+AA381</f>
        <v>226305.209555703</v>
      </c>
      <c r="AB382" s="71" t="n">
        <f aca="false">AA382+AB381</f>
        <v>226305.209555703</v>
      </c>
    </row>
    <row r="383" customFormat="false" ht="15" hidden="false" customHeight="false" outlineLevel="0" collapsed="false">
      <c r="A383" s="29" t="s">
        <v>841</v>
      </c>
      <c r="B383" s="60" t="s">
        <v>842</v>
      </c>
      <c r="C383" s="61" t="n">
        <f aca="false">SUM(E383:P383)</f>
        <v>7654.95987158908</v>
      </c>
      <c r="D383" s="61" t="n">
        <f aca="false">SUM(Q383:AB383)</f>
        <v>5319.99133226324</v>
      </c>
      <c r="E383" s="62" t="n">
        <f aca="false">IF(E$5="A",0,E31*Engagement_Register!$N$29*Assumptions!E$195)</f>
        <v>0</v>
      </c>
      <c r="F383" s="62" t="n">
        <f aca="false">IF(F$5="A",0,F31*Engagement_Register!$N$29*Assumptions!F$195)</f>
        <v>0</v>
      </c>
      <c r="G383" s="62" t="n">
        <f aca="false">IF(G$5="A",0,G31*Engagement_Register!$N$29*Assumptions!G$195)</f>
        <v>0</v>
      </c>
      <c r="H383" s="62" t="n">
        <f aca="false">IF(H$5="A",0,H31*Engagement_Register!$N$29*Assumptions!H$195)</f>
        <v>0</v>
      </c>
      <c r="I383" s="62" t="n">
        <f aca="false">IF(I$5="A",0,I31*Engagement_Register!$N$29*Assumptions!I$195)</f>
        <v>0</v>
      </c>
      <c r="J383" s="62" t="n">
        <f aca="false">IF(J$5="A",0,J31*Engagement_Register!$N$29*Assumptions!J$195)</f>
        <v>0</v>
      </c>
      <c r="K383" s="62" t="n">
        <f aca="false">IF(K$5="A",0,K31*Engagement_Register!$N$29*Assumptions!K$195)</f>
        <v>0</v>
      </c>
      <c r="L383" s="62" t="n">
        <f aca="false">IF(L$5="A",0,L31*Engagement_Register!$N$29*Assumptions!L$195)</f>
        <v>0</v>
      </c>
      <c r="M383" s="62" t="n">
        <f aca="false">IF(M$5="A",0,M31*Engagement_Register!$N$29*Assumptions!M$195)</f>
        <v>1965.18459069021</v>
      </c>
      <c r="N383" s="62" t="n">
        <f aca="false">IF(N$5="A",0,N31*Engagement_Register!$N$29*Assumptions!N$195)</f>
        <v>1893.1621187801</v>
      </c>
      <c r="O383" s="62" t="n">
        <f aca="false">IF(O$5="A",0,O31*Engagement_Register!$N$29*Assumptions!O$195)</f>
        <v>1872.58426966292</v>
      </c>
      <c r="P383" s="62" t="n">
        <f aca="false">IF(P$5="A",0,P31*Engagement_Register!$N$29*Assumptions!P$195)</f>
        <v>1924.02889245586</v>
      </c>
      <c r="Q383" s="62" t="n">
        <f aca="false">IF(Q$5="A",0,Q31*Engagement_Register!$N$29*Assumptions!Q$195)</f>
        <v>1695.61476725522</v>
      </c>
      <c r="R383" s="62" t="n">
        <f aca="false">IF(R$5="A",0,R31*Engagement_Register!$N$29*Assumptions!R$195)</f>
        <v>1748.60272873194</v>
      </c>
      <c r="S383" s="62" t="n">
        <f aca="false">IF(S$5="A",0,S31*Engagement_Register!$N$29*Assumptions!S$195)</f>
        <v>1875.77383627608</v>
      </c>
      <c r="T383" s="62" t="n">
        <f aca="false">IF(T$5="A",0,T31*Engagement_Register!$N$29*Assumptions!T$195)</f>
        <v>0</v>
      </c>
      <c r="U383" s="62" t="n">
        <f aca="false">IF(U$5="A",0,U31*Engagement_Register!$N$29*Assumptions!U$195)</f>
        <v>0</v>
      </c>
      <c r="V383" s="62" t="n">
        <f aca="false">IF(V$5="A",0,V31*Engagement_Register!$N$29*Assumptions!V$195)</f>
        <v>0</v>
      </c>
      <c r="W383" s="62" t="n">
        <f aca="false">IF(W$5="A",0,W31*Engagement_Register!$N$29*Assumptions!W$195)</f>
        <v>0</v>
      </c>
      <c r="X383" s="62" t="n">
        <f aca="false">IF(X$5="A",0,X31*Engagement_Register!$N$29*Assumptions!X$195)</f>
        <v>0</v>
      </c>
      <c r="Y383" s="62" t="n">
        <f aca="false">IF(Y$5="A",0,Y31*Engagement_Register!$N$29*Assumptions!Y$195)</f>
        <v>0</v>
      </c>
      <c r="Z383" s="62" t="n">
        <f aca="false">IF(Z$5="A",0,Z31*Engagement_Register!$N$29*Assumptions!Z$195)</f>
        <v>0</v>
      </c>
      <c r="AA383" s="62" t="n">
        <f aca="false">IF(AA$5="A",0,AA31*Engagement_Register!$N$29*Assumptions!AA$195)</f>
        <v>0</v>
      </c>
      <c r="AB383" s="62" t="n">
        <f aca="false">IF(AB$5="A",0,AB31*Engagement_Register!$N$29*Assumptions!AB$195)</f>
        <v>0</v>
      </c>
    </row>
    <row r="384" customFormat="false" ht="15" hidden="false" customHeight="false" outlineLevel="0" collapsed="false">
      <c r="A384" s="29" t="s">
        <v>843</v>
      </c>
      <c r="B384" s="60" t="s">
        <v>844</v>
      </c>
      <c r="C384" s="61" t="n">
        <f aca="false">SUM(E384:P384)</f>
        <v>7654.95987158908</v>
      </c>
      <c r="D384" s="61" t="n">
        <f aca="false">SUM(Q384:AB384)</f>
        <v>5319.99133226324</v>
      </c>
      <c r="E384" s="71" t="n">
        <f aca="false">E383</f>
        <v>0</v>
      </c>
      <c r="F384" s="71" t="n">
        <f aca="false">F383</f>
        <v>0</v>
      </c>
      <c r="G384" s="71" t="n">
        <f aca="false">G383</f>
        <v>0</v>
      </c>
      <c r="H384" s="71" t="n">
        <f aca="false">H383</f>
        <v>0</v>
      </c>
      <c r="I384" s="71" t="n">
        <f aca="false">I383</f>
        <v>0</v>
      </c>
      <c r="J384" s="71" t="n">
        <f aca="false">J383</f>
        <v>0</v>
      </c>
      <c r="K384" s="71" t="n">
        <f aca="false">K383</f>
        <v>0</v>
      </c>
      <c r="L384" s="71" t="n">
        <f aca="false">L383</f>
        <v>0</v>
      </c>
      <c r="M384" s="71" t="n">
        <f aca="false">M383</f>
        <v>1965.18459069021</v>
      </c>
      <c r="N384" s="71" t="n">
        <f aca="false">N383</f>
        <v>1893.1621187801</v>
      </c>
      <c r="O384" s="71" t="n">
        <f aca="false">O383</f>
        <v>1872.58426966292</v>
      </c>
      <c r="P384" s="71" t="n">
        <f aca="false">P383</f>
        <v>1924.02889245586</v>
      </c>
      <c r="Q384" s="71" t="n">
        <f aca="false">Q383</f>
        <v>1695.61476725522</v>
      </c>
      <c r="R384" s="71" t="n">
        <f aca="false">R383</f>
        <v>1748.60272873194</v>
      </c>
      <c r="S384" s="71" t="n">
        <f aca="false">S383</f>
        <v>1875.77383627608</v>
      </c>
      <c r="T384" s="71" t="n">
        <f aca="false">T383</f>
        <v>0</v>
      </c>
      <c r="U384" s="71" t="n">
        <f aca="false">U383</f>
        <v>0</v>
      </c>
      <c r="V384" s="71" t="n">
        <f aca="false">V383</f>
        <v>0</v>
      </c>
      <c r="W384" s="71" t="n">
        <f aca="false">W383</f>
        <v>0</v>
      </c>
      <c r="X384" s="71" t="n">
        <f aca="false">X383</f>
        <v>0</v>
      </c>
      <c r="Y384" s="71" t="n">
        <f aca="false">Y383</f>
        <v>0</v>
      </c>
      <c r="Z384" s="71" t="n">
        <f aca="false">Z383</f>
        <v>0</v>
      </c>
      <c r="AA384" s="71" t="n">
        <f aca="false">AA383</f>
        <v>0</v>
      </c>
      <c r="AB384" s="71" t="n">
        <f aca="false">AB383</f>
        <v>0</v>
      </c>
    </row>
    <row r="385" customFormat="false" ht="15" hidden="false" customHeight="false" outlineLevel="0" collapsed="false">
      <c r="A385" s="29" t="s">
        <v>845</v>
      </c>
      <c r="B385" s="60" t="s">
        <v>846</v>
      </c>
      <c r="C385" s="61" t="n">
        <f aca="false">SUM(E385:P385)</f>
        <v>5730.93097913323</v>
      </c>
      <c r="D385" s="61" t="n">
        <f aca="false">SUM(Q385:AB385)</f>
        <v>7244.0202247191</v>
      </c>
      <c r="E385" s="71" t="n">
        <f aca="false">IF(E$5="A",0,0)</f>
        <v>0</v>
      </c>
      <c r="F385" s="71" t="n">
        <f aca="false">IF(F$5="A",0,E384)</f>
        <v>0</v>
      </c>
      <c r="G385" s="71" t="n">
        <f aca="false">IF(G$5="A",0,F384)</f>
        <v>0</v>
      </c>
      <c r="H385" s="71" t="n">
        <f aca="false">IF(H$5="A",0,G384)</f>
        <v>0</v>
      </c>
      <c r="I385" s="71" t="n">
        <f aca="false">IF(I$5="A",0,H384)</f>
        <v>0</v>
      </c>
      <c r="J385" s="71" t="n">
        <f aca="false">IF(J$5="A",0,I384)</f>
        <v>0</v>
      </c>
      <c r="K385" s="71" t="n">
        <f aca="false">IF(K$5="A",0,J384)</f>
        <v>0</v>
      </c>
      <c r="L385" s="71" t="n">
        <f aca="false">IF(L$5="A",0,K384)</f>
        <v>0</v>
      </c>
      <c r="M385" s="71" t="n">
        <f aca="false">IF(M$5="A",0,L384)</f>
        <v>0</v>
      </c>
      <c r="N385" s="71" t="n">
        <f aca="false">IF(N$5="A",0,M384)</f>
        <v>1965.18459069021</v>
      </c>
      <c r="O385" s="71" t="n">
        <f aca="false">IF(O$5="A",0,N384)</f>
        <v>1893.1621187801</v>
      </c>
      <c r="P385" s="71" t="n">
        <f aca="false">IF(P$5="A",0,O384)</f>
        <v>1872.58426966292</v>
      </c>
      <c r="Q385" s="71" t="n">
        <f aca="false">IF(Q$5="A",0,P384)</f>
        <v>1924.02889245586</v>
      </c>
      <c r="R385" s="71" t="n">
        <f aca="false">IF(R$5="A",0,Q384)</f>
        <v>1695.61476725522</v>
      </c>
      <c r="S385" s="71" t="n">
        <f aca="false">IF(S$5="A",0,R384)</f>
        <v>1748.60272873194</v>
      </c>
      <c r="T385" s="71" t="n">
        <f aca="false">IF(T$5="A",0,S384)</f>
        <v>1875.77383627608</v>
      </c>
      <c r="U385" s="71" t="n">
        <f aca="false">IF(U$5="A",0,T384)</f>
        <v>0</v>
      </c>
      <c r="V385" s="71" t="n">
        <f aca="false">IF(V$5="A",0,U384)</f>
        <v>0</v>
      </c>
      <c r="W385" s="71" t="n">
        <f aca="false">IF(W$5="A",0,V384)</f>
        <v>0</v>
      </c>
      <c r="X385" s="71" t="n">
        <f aca="false">IF(X$5="A",0,W384)</f>
        <v>0</v>
      </c>
      <c r="Y385" s="71" t="n">
        <f aca="false">IF(Y$5="A",0,X384)</f>
        <v>0</v>
      </c>
      <c r="Z385" s="71" t="n">
        <f aca="false">IF(Z$5="A",0,Y384)</f>
        <v>0</v>
      </c>
      <c r="AA385" s="71" t="n">
        <f aca="false">IF(AA$5="A",0,Z384)</f>
        <v>0</v>
      </c>
      <c r="AB385" s="71" t="n">
        <f aca="false">IF(AB$5="A",0,AA384)</f>
        <v>0</v>
      </c>
    </row>
    <row r="386" customFormat="false" ht="15" hidden="false" customHeight="false" outlineLevel="0" collapsed="false">
      <c r="A386" s="29" t="s">
        <v>847</v>
      </c>
      <c r="B386" s="60" t="s">
        <v>848</v>
      </c>
      <c r="C386" s="61" t="n">
        <f aca="false">P386</f>
        <v>35349.3054839165</v>
      </c>
      <c r="D386" s="61" t="n">
        <f aca="false">AB386</f>
        <v>0</v>
      </c>
      <c r="E386" s="62" t="n">
        <f aca="false">Engagement_Register!$X$29+E380+E384-E385-E381</f>
        <v>0</v>
      </c>
      <c r="F386" s="71" t="n">
        <f aca="false">E386+F380+F384-F385-F381</f>
        <v>0</v>
      </c>
      <c r="G386" s="71" t="n">
        <f aca="false">F386+G380+G384-G385-G381</f>
        <v>0</v>
      </c>
      <c r="H386" s="71" t="n">
        <f aca="false">G386+H380+H384-H385-H381</f>
        <v>0</v>
      </c>
      <c r="I386" s="71" t="n">
        <f aca="false">H386+I380+I384-I385-I381</f>
        <v>0</v>
      </c>
      <c r="J386" s="71" t="n">
        <f aca="false">I386+J380+J384-J385-J381</f>
        <v>0</v>
      </c>
      <c r="K386" s="71" t="n">
        <f aca="false">J386+K380+K384-K385-K381</f>
        <v>0</v>
      </c>
      <c r="L386" s="71" t="n">
        <f aca="false">K386+L380+L384-L385-L381</f>
        <v>0</v>
      </c>
      <c r="M386" s="71" t="n">
        <f aca="false">L386+M380+M384-M385-M381</f>
        <v>36105.4403605779</v>
      </c>
      <c r="N386" s="71" t="n">
        <f aca="false">M386+N380+N384-N385-N381</f>
        <v>34782.2043264206</v>
      </c>
      <c r="O386" s="71" t="n">
        <f aca="false">N386+O380+O384-O385-O381</f>
        <v>34404.1368880899</v>
      </c>
      <c r="P386" s="71" t="n">
        <f aca="false">O386+P380+P384-P385-P381</f>
        <v>35349.3054839165</v>
      </c>
      <c r="Q386" s="71" t="n">
        <f aca="false">P386+Q380+Q384-Q385-Q381</f>
        <v>31438.748589817</v>
      </c>
      <c r="R386" s="71" t="n">
        <f aca="false">Q386+R380+R384-R385-R381</f>
        <v>32421.2094832488</v>
      </c>
      <c r="S386" s="71" t="n">
        <f aca="false">R386+S380+S384-S385-S381</f>
        <v>34779.1156274851</v>
      </c>
      <c r="T386" s="71" t="n">
        <f aca="false">S386+T380+T384-T385-T381</f>
        <v>0</v>
      </c>
      <c r="U386" s="71" t="n">
        <f aca="false">T386+U380+U384-U385-U381</f>
        <v>0</v>
      </c>
      <c r="V386" s="71" t="n">
        <f aca="false">U386+V380+V384-V385-V381</f>
        <v>0</v>
      </c>
      <c r="W386" s="71" t="n">
        <f aca="false">V386+W380+W384-W385-W381</f>
        <v>0</v>
      </c>
      <c r="X386" s="71" t="n">
        <f aca="false">W386+X380+X384-X385-X381</f>
        <v>0</v>
      </c>
      <c r="Y386" s="71" t="n">
        <f aca="false">X386+Y380+Y384-Y385-Y381</f>
        <v>0</v>
      </c>
      <c r="Z386" s="71" t="n">
        <f aca="false">Y386+Z380+Z384-Z385-Z381</f>
        <v>0</v>
      </c>
      <c r="AA386" s="71" t="n">
        <f aca="false">Z386+AA380+AA384-AA385-AA381</f>
        <v>0</v>
      </c>
      <c r="AB386" s="71" t="n">
        <f aca="false">AA386+AB380+AB384-AB385-AB381</f>
        <v>0</v>
      </c>
    </row>
    <row r="387" customFormat="false" ht="15" hidden="false" customHeight="false" outlineLevel="0" collapsed="false">
      <c r="A387" s="29" t="s">
        <v>849</v>
      </c>
      <c r="B387" s="60" t="s">
        <v>850</v>
      </c>
      <c r="C387" s="61" t="n">
        <f aca="false">P387</f>
        <v>89729.8868925843</v>
      </c>
      <c r="D387" s="61" t="n">
        <f aca="false">AB387</f>
        <v>0</v>
      </c>
      <c r="E387" s="62" t="n">
        <f aca="false">MAX(0,Engagement_Register!$AM$29-E377)*Engagement_Register!$AE$29*Assumptions!E$194*(1-Engagement_Register!$AS$29)</f>
        <v>222716.01408</v>
      </c>
      <c r="F387" s="62" t="n">
        <f aca="false">MAX(0,Engagement_Register!$AM$29-F377)*Engagement_Register!$AE$29*Assumptions!F$194*(1-Engagement_Register!$AS$29)</f>
        <v>222716.01408</v>
      </c>
      <c r="G387" s="62" t="n">
        <f aca="false">MAX(0,Engagement_Register!$AM$29-G377)*Engagement_Register!$AE$29*Assumptions!G$194*(1-Engagement_Register!$AS$29)</f>
        <v>222716.01408</v>
      </c>
      <c r="H387" s="62" t="n">
        <f aca="false">MAX(0,Engagement_Register!$AM$29-H377)*Engagement_Register!$AE$29*Assumptions!H$194*(1-Engagement_Register!$AS$29)</f>
        <v>222716.01408</v>
      </c>
      <c r="I387" s="62" t="n">
        <f aca="false">MAX(0,Engagement_Register!$AM$29-I377)*Engagement_Register!$AE$29*Assumptions!I$194*(1-Engagement_Register!$AS$29)</f>
        <v>222716.01408</v>
      </c>
      <c r="J387" s="62" t="n">
        <f aca="false">MAX(0,Engagement_Register!$AM$29-J377)*Engagement_Register!$AE$29*Assumptions!J$194*(1-Engagement_Register!$AS$29)</f>
        <v>222716.01408</v>
      </c>
      <c r="K387" s="62" t="n">
        <f aca="false">MAX(0,Engagement_Register!$AM$29-K377)*Engagement_Register!$AE$29*Assumptions!K$194*(1-Engagement_Register!$AS$29)</f>
        <v>222716.01408</v>
      </c>
      <c r="L387" s="62" t="n">
        <f aca="false">MAX(0,Engagement_Register!$AM$29-L377)*Engagement_Register!$AE$29*Assumptions!L$194*(1-Engagement_Register!$AS$29)</f>
        <v>222716.01408</v>
      </c>
      <c r="M387" s="62" t="n">
        <f aca="false">MAX(0,Engagement_Register!$AM$29-M377)*Engagement_Register!$AE$29*Assumptions!M$194*(1-Engagement_Register!$AS$29)</f>
        <v>188575.758310112</v>
      </c>
      <c r="N387" s="62" t="n">
        <f aca="false">MAX(0,Engagement_Register!$AM$29-N377)*Engagement_Register!$AE$29*Assumptions!N$194*(1-Engagement_Register!$AS$29)</f>
        <v>155686.716102472</v>
      </c>
      <c r="O387" s="62" t="n">
        <f aca="false">MAX(0,Engagement_Register!$AM$29-O377)*Engagement_Register!$AE$29*Assumptions!O$194*(1-Engagement_Register!$AS$29)</f>
        <v>123155.163484045</v>
      </c>
      <c r="P387" s="62" t="n">
        <f aca="false">MAX(0,Engagement_Register!$AM$29-P377)*Engagement_Register!$AE$29*Assumptions!P$194*(1-Engagement_Register!$AS$29)</f>
        <v>89729.8868925843</v>
      </c>
      <c r="Q387" s="62" t="n">
        <f aca="false">MAX(0,Engagement_Register!$AM$29-Q377)*Engagement_Register!$AE$29*Assumptions!Q$194*(1-Engagement_Register!$AS$29)</f>
        <v>63575.9485457259</v>
      </c>
      <c r="R387" s="62" t="n">
        <f aca="false">MAX(0,Engagement_Register!$AM$29-R377)*Engagement_Register!$AE$29*Assumptions!R$194*(1-Engagement_Register!$AS$29)</f>
        <v>32903.341791209</v>
      </c>
      <c r="S387" s="62" t="n">
        <f aca="false">MAX(0,Engagement_Register!$AM$29-S377)*Engagement_Register!$AE$29*Assumptions!S$194*(1-Engagement_Register!$AS$29)</f>
        <v>0</v>
      </c>
      <c r="T387" s="62" t="n">
        <f aca="false">MAX(0,Engagement_Register!$AM$29-T377)*Engagement_Register!$AE$29*Assumptions!T$194*(1-Engagement_Register!$AS$29)</f>
        <v>0</v>
      </c>
      <c r="U387" s="62" t="n">
        <f aca="false">MAX(0,Engagement_Register!$AM$29-U377)*Engagement_Register!$AE$29*Assumptions!U$194*(1-Engagement_Register!$AS$29)</f>
        <v>0</v>
      </c>
      <c r="V387" s="62" t="n">
        <f aca="false">MAX(0,Engagement_Register!$AM$29-V377)*Engagement_Register!$AE$29*Assumptions!V$194*(1-Engagement_Register!$AS$29)</f>
        <v>0</v>
      </c>
      <c r="W387" s="62" t="n">
        <f aca="false">MAX(0,Engagement_Register!$AM$29-W377)*Engagement_Register!$AE$29*Assumptions!W$194*(1-Engagement_Register!$AS$29)</f>
        <v>0</v>
      </c>
      <c r="X387" s="62" t="n">
        <f aca="false">MAX(0,Engagement_Register!$AM$29-X377)*Engagement_Register!$AE$29*Assumptions!X$194*(1-Engagement_Register!$AS$29)</f>
        <v>0</v>
      </c>
      <c r="Y387" s="62" t="n">
        <f aca="false">MAX(0,Engagement_Register!$AM$29-Y377)*Engagement_Register!$AE$29*Assumptions!Y$194*(1-Engagement_Register!$AS$29)</f>
        <v>0</v>
      </c>
      <c r="Z387" s="62" t="n">
        <f aca="false">MAX(0,Engagement_Register!$AM$29-Z377)*Engagement_Register!$AE$29*Assumptions!Z$194*(1-Engagement_Register!$AS$29)</f>
        <v>0</v>
      </c>
      <c r="AA387" s="62" t="n">
        <f aca="false">MAX(0,Engagement_Register!$AM$29-AA377)*Engagement_Register!$AE$29*Assumptions!AA$194*(1-Engagement_Register!$AS$29)</f>
        <v>0</v>
      </c>
      <c r="AB387" s="62" t="n">
        <f aca="false">MAX(0,Engagement_Register!$AM$29-AB377)*Engagement_Register!$AE$29*Assumptions!AB$194*(1-Engagement_Register!$AS$29)</f>
        <v>0</v>
      </c>
    </row>
    <row r="389" customFormat="false" ht="15" hidden="false" customHeight="false" outlineLevel="0" collapsed="false">
      <c r="A389" s="23" t="s">
        <v>889</v>
      </c>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row>
    <row r="390" customFormat="false" ht="15" hidden="false" customHeight="false" outlineLevel="0" collapsed="false">
      <c r="A390" s="29" t="s">
        <v>736</v>
      </c>
      <c r="B390" s="60" t="s">
        <v>832</v>
      </c>
      <c r="C390" s="66" t="n">
        <f aca="false">P390</f>
        <v>0</v>
      </c>
      <c r="D390" s="66" t="n">
        <f aca="false">AB390</f>
        <v>4550</v>
      </c>
      <c r="E390" s="67" t="n">
        <f aca="false">Engagement_Register!$T$30+E32</f>
        <v>0</v>
      </c>
      <c r="F390" s="72" t="n">
        <f aca="false">E390+F32</f>
        <v>0</v>
      </c>
      <c r="G390" s="72" t="n">
        <f aca="false">F390+G32</f>
        <v>0</v>
      </c>
      <c r="H390" s="72" t="n">
        <f aca="false">G390+H32</f>
        <v>0</v>
      </c>
      <c r="I390" s="72" t="n">
        <f aca="false">H390+I32</f>
        <v>0</v>
      </c>
      <c r="J390" s="72" t="n">
        <f aca="false">I390+J32</f>
        <v>0</v>
      </c>
      <c r="K390" s="72" t="n">
        <f aca="false">J390+K32</f>
        <v>0</v>
      </c>
      <c r="L390" s="72" t="n">
        <f aca="false">K390+L32</f>
        <v>0</v>
      </c>
      <c r="M390" s="72" t="n">
        <f aca="false">L390+M32</f>
        <v>0</v>
      </c>
      <c r="N390" s="72" t="n">
        <f aca="false">M390+N32</f>
        <v>0</v>
      </c>
      <c r="O390" s="72" t="n">
        <f aca="false">N390+O32</f>
        <v>0</v>
      </c>
      <c r="P390" s="72" t="n">
        <f aca="false">O390+P32</f>
        <v>0</v>
      </c>
      <c r="Q390" s="72" t="n">
        <f aca="false">P390+Q32</f>
        <v>0</v>
      </c>
      <c r="R390" s="72" t="n">
        <f aca="false">Q390+R32</f>
        <v>0</v>
      </c>
      <c r="S390" s="72" t="n">
        <f aca="false">R390+S32</f>
        <v>0</v>
      </c>
      <c r="T390" s="72" t="n">
        <f aca="false">S390+T32</f>
        <v>523.476368159204</v>
      </c>
      <c r="U390" s="72" t="n">
        <f aca="false">T390+U32</f>
        <v>922.450248756219</v>
      </c>
      <c r="V390" s="72" t="n">
        <f aca="false">U390+V32</f>
        <v>1462.90422885572</v>
      </c>
      <c r="W390" s="72" t="n">
        <f aca="false">V390+W32</f>
        <v>1986.38059701493</v>
      </c>
      <c r="X390" s="72" t="n">
        <f aca="false">W390+X32</f>
        <v>2444.77611940299</v>
      </c>
      <c r="Y390" s="72" t="n">
        <f aca="false">X390+Y32</f>
        <v>2985.23009950249</v>
      </c>
      <c r="Z390" s="72" t="n">
        <f aca="false">Y390+Z32</f>
        <v>3477.58084577114</v>
      </c>
      <c r="AA390" s="72" t="n">
        <f aca="false">Z390+AA32</f>
        <v>3992.5684079602</v>
      </c>
      <c r="AB390" s="72" t="n">
        <f aca="false">AA390+AB32</f>
        <v>4550</v>
      </c>
    </row>
    <row r="391" customFormat="false" ht="15" hidden="false" customHeight="false" outlineLevel="0" collapsed="false">
      <c r="A391" s="29" t="s">
        <v>833</v>
      </c>
      <c r="B391" s="60" t="s">
        <v>834</v>
      </c>
      <c r="C391" s="61" t="n">
        <f aca="false">SUM(E391:P391)</f>
        <v>0</v>
      </c>
      <c r="D391" s="61" t="n">
        <f aca="false">SUM(Q391:AB391)</f>
        <v>967220.8</v>
      </c>
      <c r="E391" s="62" t="n">
        <f aca="false">E32*Engagement_Register!$AD$30*Assumptions!E$194</f>
        <v>0</v>
      </c>
      <c r="F391" s="62" t="n">
        <f aca="false">F32*Engagement_Register!$AD$30*Assumptions!F$194</f>
        <v>0</v>
      </c>
      <c r="G391" s="62" t="n">
        <f aca="false">G32*Engagement_Register!$AD$30*Assumptions!G$194</f>
        <v>0</v>
      </c>
      <c r="H391" s="62" t="n">
        <f aca="false">H32*Engagement_Register!$AD$30*Assumptions!H$194</f>
        <v>0</v>
      </c>
      <c r="I391" s="62" t="n">
        <f aca="false">I32*Engagement_Register!$AD$30*Assumptions!I$194</f>
        <v>0</v>
      </c>
      <c r="J391" s="62" t="n">
        <f aca="false">J32*Engagement_Register!$AD$30*Assumptions!J$194</f>
        <v>0</v>
      </c>
      <c r="K391" s="62" t="n">
        <f aca="false">K32*Engagement_Register!$AD$30*Assumptions!K$194</f>
        <v>0</v>
      </c>
      <c r="L391" s="62" t="n">
        <f aca="false">L32*Engagement_Register!$AD$30*Assumptions!L$194</f>
        <v>0</v>
      </c>
      <c r="M391" s="62" t="n">
        <f aca="false">M32*Engagement_Register!$AD$30*Assumptions!M$194</f>
        <v>0</v>
      </c>
      <c r="N391" s="62" t="n">
        <f aca="false">N32*Engagement_Register!$AD$30*Assumptions!N$194</f>
        <v>0</v>
      </c>
      <c r="O391" s="62" t="n">
        <f aca="false">O32*Engagement_Register!$AD$30*Assumptions!O$194</f>
        <v>0</v>
      </c>
      <c r="P391" s="62" t="n">
        <f aca="false">P32*Engagement_Register!$AD$30*Assumptions!P$194</f>
        <v>0</v>
      </c>
      <c r="Q391" s="62" t="n">
        <f aca="false">Q32*Engagement_Register!$AD$30*Assumptions!Q$194</f>
        <v>0</v>
      </c>
      <c r="R391" s="62" t="n">
        <f aca="false">R32*Engagement_Register!$AD$30*Assumptions!R$194</f>
        <v>0</v>
      </c>
      <c r="S391" s="62" t="n">
        <f aca="false">S32*Engagement_Register!$AD$30*Assumptions!S$194</f>
        <v>0</v>
      </c>
      <c r="T391" s="62" t="n">
        <f aca="false">T32*Engagement_Register!$AD$30*Assumptions!T$194</f>
        <v>111278.512437811</v>
      </c>
      <c r="U391" s="62" t="n">
        <f aca="false">U32*Engagement_Register!$AD$30*Assumptions!U$194</f>
        <v>84812.2716417911</v>
      </c>
      <c r="V391" s="62" t="n">
        <f aca="false">V32*Engagement_Register!$AD$30*Assumptions!V$194</f>
        <v>114887.545273632</v>
      </c>
      <c r="W391" s="62" t="n">
        <f aca="false">W32*Engagement_Register!$AD$30*Assumptions!W$194</f>
        <v>111278.512437811</v>
      </c>
      <c r="X391" s="62" t="n">
        <f aca="false">X32*Engagement_Register!$AD$30*Assumptions!X$194</f>
        <v>97443.8865671642</v>
      </c>
      <c r="Y391" s="62" t="n">
        <f aca="false">Y32*Engagement_Register!$AD$30*Assumptions!Y$194</f>
        <v>114887.545273632</v>
      </c>
      <c r="Z391" s="62" t="n">
        <f aca="false">Z32*Engagement_Register!$AD$30*Assumptions!Z$194</f>
        <v>104661.952238806</v>
      </c>
      <c r="AA391" s="62" t="n">
        <f aca="false">AA32*Engagement_Register!$AD$30*Assumptions!AA$194</f>
        <v>109473.996019901</v>
      </c>
      <c r="AB391" s="62" t="n">
        <f aca="false">AB32*Engagement_Register!$AD$30*Assumptions!AB$194</f>
        <v>118496.578109453</v>
      </c>
    </row>
    <row r="392" customFormat="false" ht="15" hidden="false" customHeight="false" outlineLevel="0" collapsed="false">
      <c r="A392" s="29" t="s">
        <v>835</v>
      </c>
      <c r="B392" s="60" t="s">
        <v>836</v>
      </c>
      <c r="C392" s="61" t="n">
        <f aca="false">SUM(E392:P392)</f>
        <v>0</v>
      </c>
      <c r="D392" s="61" t="n">
        <f aca="false">SUM(Q392:AB392)</f>
        <v>889843.136</v>
      </c>
      <c r="E392" s="62" t="n">
        <f aca="false">E32*Engagement_Register!$AE$30*Assumptions!E$194</f>
        <v>0</v>
      </c>
      <c r="F392" s="62" t="n">
        <f aca="false">F32*Engagement_Register!$AE$30*Assumptions!F$194</f>
        <v>0</v>
      </c>
      <c r="G392" s="62" t="n">
        <f aca="false">G32*Engagement_Register!$AE$30*Assumptions!G$194</f>
        <v>0</v>
      </c>
      <c r="H392" s="62" t="n">
        <f aca="false">H32*Engagement_Register!$AE$30*Assumptions!H$194</f>
        <v>0</v>
      </c>
      <c r="I392" s="62" t="n">
        <f aca="false">I32*Engagement_Register!$AE$30*Assumptions!I$194</f>
        <v>0</v>
      </c>
      <c r="J392" s="62" t="n">
        <f aca="false">J32*Engagement_Register!$AE$30*Assumptions!J$194</f>
        <v>0</v>
      </c>
      <c r="K392" s="62" t="n">
        <f aca="false">K32*Engagement_Register!$AE$30*Assumptions!K$194</f>
        <v>0</v>
      </c>
      <c r="L392" s="62" t="n">
        <f aca="false">L32*Engagement_Register!$AE$30*Assumptions!L$194</f>
        <v>0</v>
      </c>
      <c r="M392" s="62" t="n">
        <f aca="false">M32*Engagement_Register!$AE$30*Assumptions!M$194</f>
        <v>0</v>
      </c>
      <c r="N392" s="62" t="n">
        <f aca="false">N32*Engagement_Register!$AE$30*Assumptions!N$194</f>
        <v>0</v>
      </c>
      <c r="O392" s="62" t="n">
        <f aca="false">O32*Engagement_Register!$AE$30*Assumptions!O$194</f>
        <v>0</v>
      </c>
      <c r="P392" s="62" t="n">
        <f aca="false">P32*Engagement_Register!$AE$30*Assumptions!P$194</f>
        <v>0</v>
      </c>
      <c r="Q392" s="62" t="n">
        <f aca="false">Q32*Engagement_Register!$AE$30*Assumptions!Q$194</f>
        <v>0</v>
      </c>
      <c r="R392" s="62" t="n">
        <f aca="false">R32*Engagement_Register!$AE$30*Assumptions!R$194</f>
        <v>0</v>
      </c>
      <c r="S392" s="62" t="n">
        <f aca="false">S32*Engagement_Register!$AE$30*Assumptions!S$194</f>
        <v>0</v>
      </c>
      <c r="T392" s="62" t="n">
        <f aca="false">T32*Engagement_Register!$AE$30*Assumptions!T$194</f>
        <v>102376.231442786</v>
      </c>
      <c r="U392" s="62" t="n">
        <f aca="false">U32*Engagement_Register!$AE$30*Assumptions!U$194</f>
        <v>78027.2899104478</v>
      </c>
      <c r="V392" s="62" t="n">
        <f aca="false">V32*Engagement_Register!$AE$30*Assumptions!V$194</f>
        <v>105696.541651741</v>
      </c>
      <c r="W392" s="62" t="n">
        <f aca="false">W32*Engagement_Register!$AE$30*Assumptions!W$194</f>
        <v>102376.231442786</v>
      </c>
      <c r="X392" s="62" t="n">
        <f aca="false">X32*Engagement_Register!$AE$30*Assumptions!X$194</f>
        <v>89648.3756417911</v>
      </c>
      <c r="Y392" s="62" t="n">
        <f aca="false">Y32*Engagement_Register!$AE$30*Assumptions!Y$194</f>
        <v>105696.541651741</v>
      </c>
      <c r="Z392" s="62" t="n">
        <f aca="false">Z32*Engagement_Register!$AE$30*Assumptions!Z$194</f>
        <v>96288.9960597015</v>
      </c>
      <c r="AA392" s="62" t="n">
        <f aca="false">AA32*Engagement_Register!$AE$30*Assumptions!AA$194</f>
        <v>100716.076338308</v>
      </c>
      <c r="AB392" s="62" t="n">
        <f aca="false">AB32*Engagement_Register!$AE$30*Assumptions!AB$194</f>
        <v>109016.851860697</v>
      </c>
    </row>
    <row r="393" customFormat="false" ht="15" hidden="false" customHeight="false" outlineLevel="0" collapsed="false">
      <c r="A393" s="68" t="s">
        <v>349</v>
      </c>
      <c r="B393" s="69" t="s">
        <v>837</v>
      </c>
      <c r="C393" s="70" t="n">
        <f aca="false">SUM(E393:P393)</f>
        <v>0</v>
      </c>
      <c r="D393" s="70" t="n">
        <f aca="false">SUM(Q393:AB393)</f>
        <v>854249.41056</v>
      </c>
      <c r="E393" s="74" t="n">
        <f aca="false">IF(E$5="A",0,E392*(1-Engagement_Register!$AS$30))</f>
        <v>0</v>
      </c>
      <c r="F393" s="74" t="n">
        <f aca="false">IF(F$5="A",0,F392*(1-Engagement_Register!$AS$30))</f>
        <v>0</v>
      </c>
      <c r="G393" s="74" t="n">
        <f aca="false">IF(G$5="A",0,G392*(1-Engagement_Register!$AS$30))</f>
        <v>0</v>
      </c>
      <c r="H393" s="74" t="n">
        <f aca="false">IF(H$5="A",0,H392*(1-Engagement_Register!$AS$30))</f>
        <v>0</v>
      </c>
      <c r="I393" s="74" t="n">
        <f aca="false">IF(I$5="A",0,I392*(1-Engagement_Register!$AS$30))</f>
        <v>0</v>
      </c>
      <c r="J393" s="74" t="n">
        <f aca="false">IF(J$5="A",0,J392*(1-Engagement_Register!$AS$30))</f>
        <v>0</v>
      </c>
      <c r="K393" s="74" t="n">
        <f aca="false">IF(K$5="A",0,K392*(1-Engagement_Register!$AS$30))</f>
        <v>0</v>
      </c>
      <c r="L393" s="74" t="n">
        <f aca="false">IF(L$5="A",0,L392*(1-Engagement_Register!$AS$30))</f>
        <v>0</v>
      </c>
      <c r="M393" s="74" t="n">
        <f aca="false">IF(M$5="A",0,M392*(1-Engagement_Register!$AS$30))</f>
        <v>0</v>
      </c>
      <c r="N393" s="74" t="n">
        <f aca="false">IF(N$5="A",0,N392*(1-Engagement_Register!$AS$30))</f>
        <v>0</v>
      </c>
      <c r="O393" s="74" t="n">
        <f aca="false">IF(O$5="A",0,O392*(1-Engagement_Register!$AS$30))</f>
        <v>0</v>
      </c>
      <c r="P393" s="74" t="n">
        <f aca="false">IF(P$5="A",0,P392*(1-Engagement_Register!$AS$30))</f>
        <v>0</v>
      </c>
      <c r="Q393" s="74" t="n">
        <f aca="false">IF(Q$5="A",0,Q392*(1-Engagement_Register!$AS$30))</f>
        <v>0</v>
      </c>
      <c r="R393" s="74" t="n">
        <f aca="false">IF(R$5="A",0,R392*(1-Engagement_Register!$AS$30))</f>
        <v>0</v>
      </c>
      <c r="S393" s="74" t="n">
        <f aca="false">IF(S$5="A",0,S392*(1-Engagement_Register!$AS$30))</f>
        <v>0</v>
      </c>
      <c r="T393" s="74" t="n">
        <f aca="false">IF(T$5="A",0,T392*(1-Engagement_Register!$AS$30))</f>
        <v>98281.1821850746</v>
      </c>
      <c r="U393" s="74" t="n">
        <f aca="false">IF(U$5="A",0,U392*(1-Engagement_Register!$AS$30))</f>
        <v>74906.1983140299</v>
      </c>
      <c r="V393" s="74" t="n">
        <f aca="false">IF(V$5="A",0,V392*(1-Engagement_Register!$AS$30))</f>
        <v>101468.679985672</v>
      </c>
      <c r="W393" s="74" t="n">
        <f aca="false">IF(W$5="A",0,W392*(1-Engagement_Register!$AS$30))</f>
        <v>98281.1821850746</v>
      </c>
      <c r="X393" s="74" t="n">
        <f aca="false">IF(X$5="A",0,X392*(1-Engagement_Register!$AS$30))</f>
        <v>86062.4406161194</v>
      </c>
      <c r="Y393" s="74" t="n">
        <f aca="false">IF(Y$5="A",0,Y392*(1-Engagement_Register!$AS$30))</f>
        <v>101468.679985672</v>
      </c>
      <c r="Z393" s="74" t="n">
        <f aca="false">IF(Z$5="A",0,Z392*(1-Engagement_Register!$AS$30))</f>
        <v>92437.4362173134</v>
      </c>
      <c r="AA393" s="74" t="n">
        <f aca="false">IF(AA$5="A",0,AA392*(1-Engagement_Register!$AS$30))</f>
        <v>96687.4332847761</v>
      </c>
      <c r="AB393" s="74" t="n">
        <f aca="false">IF(AB$5="A",0,AB392*(1-Engagement_Register!$AS$30))</f>
        <v>104656.177786269</v>
      </c>
    </row>
    <row r="394" customFormat="false" ht="15" hidden="false" customHeight="false" outlineLevel="0" collapsed="false">
      <c r="A394" s="29" t="s">
        <v>838</v>
      </c>
      <c r="B394" s="60" t="s">
        <v>839</v>
      </c>
      <c r="C394" s="61" t="n">
        <f aca="false">SUM(E394:P394)</f>
        <v>0</v>
      </c>
      <c r="D394" s="61" t="n">
        <f aca="false">SUM(Q394:AB394)</f>
        <v>749593.232773732</v>
      </c>
      <c r="E394" s="71" t="n">
        <f aca="false">IF(E$5="A",0,0)</f>
        <v>0</v>
      </c>
      <c r="F394" s="71" t="n">
        <f aca="false">IF(F$5="A",0,E393)</f>
        <v>0</v>
      </c>
      <c r="G394" s="71" t="n">
        <f aca="false">IF(G$5="A",0,F393)</f>
        <v>0</v>
      </c>
      <c r="H394" s="71" t="n">
        <f aca="false">IF(H$5="A",0,G393)</f>
        <v>0</v>
      </c>
      <c r="I394" s="71" t="n">
        <f aca="false">IF(I$5="A",0,H393)</f>
        <v>0</v>
      </c>
      <c r="J394" s="71" t="n">
        <f aca="false">IF(J$5="A",0,I393)</f>
        <v>0</v>
      </c>
      <c r="K394" s="71" t="n">
        <f aca="false">IF(K$5="A",0,J393)</f>
        <v>0</v>
      </c>
      <c r="L394" s="71" t="n">
        <f aca="false">IF(L$5="A",0,K393)</f>
        <v>0</v>
      </c>
      <c r="M394" s="71" t="n">
        <f aca="false">IF(M$5="A",0,L393)</f>
        <v>0</v>
      </c>
      <c r="N394" s="71" t="n">
        <f aca="false">IF(N$5="A",0,M393)</f>
        <v>0</v>
      </c>
      <c r="O394" s="71" t="n">
        <f aca="false">IF(O$5="A",0,N393)</f>
        <v>0</v>
      </c>
      <c r="P394" s="71" t="n">
        <f aca="false">IF(P$5="A",0,O393)</f>
        <v>0</v>
      </c>
      <c r="Q394" s="71" t="n">
        <f aca="false">IF(Q$5="A",0,P393)</f>
        <v>0</v>
      </c>
      <c r="R394" s="71" t="n">
        <f aca="false">IF(R$5="A",0,Q393)</f>
        <v>0</v>
      </c>
      <c r="S394" s="71" t="n">
        <f aca="false">IF(S$5="A",0,R393)</f>
        <v>0</v>
      </c>
      <c r="T394" s="71" t="n">
        <f aca="false">IF(T$5="A",0,S393)</f>
        <v>0</v>
      </c>
      <c r="U394" s="71" t="n">
        <f aca="false">IF(U$5="A",0,T393)</f>
        <v>98281.1821850746</v>
      </c>
      <c r="V394" s="71" t="n">
        <f aca="false">IF(V$5="A",0,U393)</f>
        <v>74906.1983140299</v>
      </c>
      <c r="W394" s="71" t="n">
        <f aca="false">IF(W$5="A",0,V393)</f>
        <v>101468.679985672</v>
      </c>
      <c r="X394" s="71" t="n">
        <f aca="false">IF(X$5="A",0,W393)</f>
        <v>98281.1821850746</v>
      </c>
      <c r="Y394" s="71" t="n">
        <f aca="false">IF(Y$5="A",0,X393)</f>
        <v>86062.4406161194</v>
      </c>
      <c r="Z394" s="71" t="n">
        <f aca="false">IF(Z$5="A",0,Y393)</f>
        <v>101468.679985672</v>
      </c>
      <c r="AA394" s="71" t="n">
        <f aca="false">IF(AA$5="A",0,Z393)</f>
        <v>92437.4362173134</v>
      </c>
      <c r="AB394" s="71" t="n">
        <f aca="false">IF(AB$5="A",0,AA393)</f>
        <v>96687.4332847761</v>
      </c>
    </row>
    <row r="395" customFormat="false" ht="15" hidden="false" customHeight="false" outlineLevel="0" collapsed="false">
      <c r="A395" s="29" t="s">
        <v>840</v>
      </c>
      <c r="B395" s="60"/>
      <c r="C395" s="61" t="n">
        <f aca="false">P395</f>
        <v>0</v>
      </c>
      <c r="D395" s="61" t="n">
        <f aca="false">AB395</f>
        <v>749593.232773732</v>
      </c>
      <c r="E395" s="62" t="n">
        <f aca="false">Engagement_Register!$V$30+E394</f>
        <v>0</v>
      </c>
      <c r="F395" s="71" t="n">
        <f aca="false">E395+F394</f>
        <v>0</v>
      </c>
      <c r="G395" s="71" t="n">
        <f aca="false">F395+G394</f>
        <v>0</v>
      </c>
      <c r="H395" s="71" t="n">
        <f aca="false">G395+H394</f>
        <v>0</v>
      </c>
      <c r="I395" s="71" t="n">
        <f aca="false">H395+I394</f>
        <v>0</v>
      </c>
      <c r="J395" s="71" t="n">
        <f aca="false">I395+J394</f>
        <v>0</v>
      </c>
      <c r="K395" s="71" t="n">
        <f aca="false">J395+K394</f>
        <v>0</v>
      </c>
      <c r="L395" s="71" t="n">
        <f aca="false">K395+L394</f>
        <v>0</v>
      </c>
      <c r="M395" s="71" t="n">
        <f aca="false">L395+M394</f>
        <v>0</v>
      </c>
      <c r="N395" s="71" t="n">
        <f aca="false">M395+N394</f>
        <v>0</v>
      </c>
      <c r="O395" s="71" t="n">
        <f aca="false">N395+O394</f>
        <v>0</v>
      </c>
      <c r="P395" s="71" t="n">
        <f aca="false">O395+P394</f>
        <v>0</v>
      </c>
      <c r="Q395" s="71" t="n">
        <f aca="false">P395+Q394</f>
        <v>0</v>
      </c>
      <c r="R395" s="71" t="n">
        <f aca="false">Q395+R394</f>
        <v>0</v>
      </c>
      <c r="S395" s="71" t="n">
        <f aca="false">R395+S394</f>
        <v>0</v>
      </c>
      <c r="T395" s="71" t="n">
        <f aca="false">S395+T394</f>
        <v>0</v>
      </c>
      <c r="U395" s="71" t="n">
        <f aca="false">T395+U394</f>
        <v>98281.1821850746</v>
      </c>
      <c r="V395" s="71" t="n">
        <f aca="false">U395+V394</f>
        <v>173187.380499105</v>
      </c>
      <c r="W395" s="71" t="n">
        <f aca="false">V395+W394</f>
        <v>274656.060484776</v>
      </c>
      <c r="X395" s="71" t="n">
        <f aca="false">W395+X394</f>
        <v>372937.242669851</v>
      </c>
      <c r="Y395" s="71" t="n">
        <f aca="false">X395+Y394</f>
        <v>458999.68328597</v>
      </c>
      <c r="Z395" s="71" t="n">
        <f aca="false">Y395+Z394</f>
        <v>560468.363271642</v>
      </c>
      <c r="AA395" s="71" t="n">
        <f aca="false">Z395+AA394</f>
        <v>652905.799488955</v>
      </c>
      <c r="AB395" s="71" t="n">
        <f aca="false">AA395+AB394</f>
        <v>749593.232773732</v>
      </c>
    </row>
    <row r="396" customFormat="false" ht="15" hidden="false" customHeight="false" outlineLevel="0" collapsed="false">
      <c r="A396" s="29" t="s">
        <v>841</v>
      </c>
      <c r="B396" s="60" t="s">
        <v>842</v>
      </c>
      <c r="C396" s="61" t="n">
        <f aca="false">SUM(E396:P396)</f>
        <v>0</v>
      </c>
      <c r="D396" s="61" t="n">
        <f aca="false">SUM(Q396:AB396)</f>
        <v>51551.5</v>
      </c>
      <c r="E396" s="62" t="n">
        <f aca="false">IF(E$5="A",0,E32*Engagement_Register!$N$30*Assumptions!E$195)</f>
        <v>0</v>
      </c>
      <c r="F396" s="62" t="n">
        <f aca="false">IF(F$5="A",0,F32*Engagement_Register!$N$30*Assumptions!F$195)</f>
        <v>0</v>
      </c>
      <c r="G396" s="62" t="n">
        <f aca="false">IF(G$5="A",0,G32*Engagement_Register!$N$30*Assumptions!G$195)</f>
        <v>0</v>
      </c>
      <c r="H396" s="62" t="n">
        <f aca="false">IF(H$5="A",0,H32*Engagement_Register!$N$30*Assumptions!H$195)</f>
        <v>0</v>
      </c>
      <c r="I396" s="62" t="n">
        <f aca="false">IF(I$5="A",0,I32*Engagement_Register!$N$30*Assumptions!I$195)</f>
        <v>0</v>
      </c>
      <c r="J396" s="62" t="n">
        <f aca="false">IF(J$5="A",0,J32*Engagement_Register!$N$30*Assumptions!J$195)</f>
        <v>0</v>
      </c>
      <c r="K396" s="62" t="n">
        <f aca="false">IF(K$5="A",0,K32*Engagement_Register!$N$30*Assumptions!K$195)</f>
        <v>0</v>
      </c>
      <c r="L396" s="62" t="n">
        <f aca="false">IF(L$5="A",0,L32*Engagement_Register!$N$30*Assumptions!L$195)</f>
        <v>0</v>
      </c>
      <c r="M396" s="62" t="n">
        <f aca="false">IF(M$5="A",0,M32*Engagement_Register!$N$30*Assumptions!M$195)</f>
        <v>0</v>
      </c>
      <c r="N396" s="62" t="n">
        <f aca="false">IF(N$5="A",0,N32*Engagement_Register!$N$30*Assumptions!N$195)</f>
        <v>0</v>
      </c>
      <c r="O396" s="62" t="n">
        <f aca="false">IF(O$5="A",0,O32*Engagement_Register!$N$30*Assumptions!O$195)</f>
        <v>0</v>
      </c>
      <c r="P396" s="62" t="n">
        <f aca="false">IF(P$5="A",0,P32*Engagement_Register!$N$30*Assumptions!P$195)</f>
        <v>0</v>
      </c>
      <c r="Q396" s="62" t="n">
        <f aca="false">IF(Q$5="A",0,Q32*Engagement_Register!$N$30*Assumptions!Q$195)</f>
        <v>0</v>
      </c>
      <c r="R396" s="62" t="n">
        <f aca="false">IF(R$5="A",0,R32*Engagement_Register!$N$30*Assumptions!R$195)</f>
        <v>0</v>
      </c>
      <c r="S396" s="62" t="n">
        <f aca="false">IF(S$5="A",0,S32*Engagement_Register!$N$30*Assumptions!S$195)</f>
        <v>0</v>
      </c>
      <c r="T396" s="62" t="n">
        <f aca="false">IF(T$5="A",0,T32*Engagement_Register!$N$30*Assumptions!T$195)</f>
        <v>5930.98725124378</v>
      </c>
      <c r="U396" s="62" t="n">
        <f aca="false">IF(U$5="A",0,U32*Engagement_Register!$N$30*Assumptions!U$195)</f>
        <v>4520.37406716418</v>
      </c>
      <c r="V396" s="62" t="n">
        <f aca="false">IF(V$5="A",0,V32*Engagement_Register!$N$30*Assumptions!V$195)</f>
        <v>6123.34359452736</v>
      </c>
      <c r="W396" s="62" t="n">
        <f aca="false">IF(W$5="A",0,W32*Engagement_Register!$N$30*Assumptions!W$195)</f>
        <v>5930.98725124378</v>
      </c>
      <c r="X396" s="62" t="n">
        <f aca="false">IF(X$5="A",0,X32*Engagement_Register!$N$30*Assumptions!X$195)</f>
        <v>5193.62126865672</v>
      </c>
      <c r="Y396" s="62" t="n">
        <f aca="false">IF(Y$5="A",0,Y32*Engagement_Register!$N$30*Assumptions!Y$195)</f>
        <v>6123.34359452736</v>
      </c>
      <c r="Z396" s="62" t="n">
        <f aca="false">IF(Z$5="A",0,Z32*Engagement_Register!$N$30*Assumptions!Z$195)</f>
        <v>5578.33395522388</v>
      </c>
      <c r="AA396" s="62" t="n">
        <f aca="false">IF(AA$5="A",0,AA32*Engagement_Register!$N$30*Assumptions!AA$195)</f>
        <v>5834.80907960199</v>
      </c>
      <c r="AB396" s="62" t="n">
        <f aca="false">IF(AB$5="A",0,AB32*Engagement_Register!$N$30*Assumptions!AB$195)</f>
        <v>6315.69993781095</v>
      </c>
    </row>
    <row r="397" customFormat="false" ht="15" hidden="false" customHeight="false" outlineLevel="0" collapsed="false">
      <c r="A397" s="29" t="s">
        <v>843</v>
      </c>
      <c r="B397" s="60" t="s">
        <v>844</v>
      </c>
      <c r="C397" s="61" t="n">
        <f aca="false">SUM(E397:P397)</f>
        <v>0</v>
      </c>
      <c r="D397" s="61" t="n">
        <f aca="false">SUM(Q397:AB397)</f>
        <v>51551.5</v>
      </c>
      <c r="E397" s="71" t="n">
        <f aca="false">E396</f>
        <v>0</v>
      </c>
      <c r="F397" s="71" t="n">
        <f aca="false">F396</f>
        <v>0</v>
      </c>
      <c r="G397" s="71" t="n">
        <f aca="false">G396</f>
        <v>0</v>
      </c>
      <c r="H397" s="71" t="n">
        <f aca="false">H396</f>
        <v>0</v>
      </c>
      <c r="I397" s="71" t="n">
        <f aca="false">I396</f>
        <v>0</v>
      </c>
      <c r="J397" s="71" t="n">
        <f aca="false">J396</f>
        <v>0</v>
      </c>
      <c r="K397" s="71" t="n">
        <f aca="false">K396</f>
        <v>0</v>
      </c>
      <c r="L397" s="71" t="n">
        <f aca="false">L396</f>
        <v>0</v>
      </c>
      <c r="M397" s="71" t="n">
        <f aca="false">M396</f>
        <v>0</v>
      </c>
      <c r="N397" s="71" t="n">
        <f aca="false">N396</f>
        <v>0</v>
      </c>
      <c r="O397" s="71" t="n">
        <f aca="false">O396</f>
        <v>0</v>
      </c>
      <c r="P397" s="71" t="n">
        <f aca="false">P396</f>
        <v>0</v>
      </c>
      <c r="Q397" s="71" t="n">
        <f aca="false">Q396</f>
        <v>0</v>
      </c>
      <c r="R397" s="71" t="n">
        <f aca="false">R396</f>
        <v>0</v>
      </c>
      <c r="S397" s="71" t="n">
        <f aca="false">S396</f>
        <v>0</v>
      </c>
      <c r="T397" s="71" t="n">
        <f aca="false">T396</f>
        <v>5930.98725124378</v>
      </c>
      <c r="U397" s="71" t="n">
        <f aca="false">U396</f>
        <v>4520.37406716418</v>
      </c>
      <c r="V397" s="71" t="n">
        <f aca="false">V396</f>
        <v>6123.34359452736</v>
      </c>
      <c r="W397" s="71" t="n">
        <f aca="false">W396</f>
        <v>5930.98725124378</v>
      </c>
      <c r="X397" s="71" t="n">
        <f aca="false">X396</f>
        <v>5193.62126865672</v>
      </c>
      <c r="Y397" s="71" t="n">
        <f aca="false">Y396</f>
        <v>6123.34359452736</v>
      </c>
      <c r="Z397" s="71" t="n">
        <f aca="false">Z396</f>
        <v>5578.33395522388</v>
      </c>
      <c r="AA397" s="71" t="n">
        <f aca="false">AA396</f>
        <v>5834.80907960199</v>
      </c>
      <c r="AB397" s="71" t="n">
        <f aca="false">AB396</f>
        <v>6315.69993781095</v>
      </c>
    </row>
    <row r="398" customFormat="false" ht="15" hidden="false" customHeight="false" outlineLevel="0" collapsed="false">
      <c r="A398" s="29" t="s">
        <v>845</v>
      </c>
      <c r="B398" s="60" t="s">
        <v>846</v>
      </c>
      <c r="C398" s="61" t="n">
        <f aca="false">SUM(E398:P398)</f>
        <v>0</v>
      </c>
      <c r="D398" s="61" t="n">
        <f aca="false">SUM(Q398:AB398)</f>
        <v>45235.8000621891</v>
      </c>
      <c r="E398" s="71" t="n">
        <f aca="false">IF(E$5="A",0,0)</f>
        <v>0</v>
      </c>
      <c r="F398" s="71" t="n">
        <f aca="false">IF(F$5="A",0,E397)</f>
        <v>0</v>
      </c>
      <c r="G398" s="71" t="n">
        <f aca="false">IF(G$5="A",0,F397)</f>
        <v>0</v>
      </c>
      <c r="H398" s="71" t="n">
        <f aca="false">IF(H$5="A",0,G397)</f>
        <v>0</v>
      </c>
      <c r="I398" s="71" t="n">
        <f aca="false">IF(I$5="A",0,H397)</f>
        <v>0</v>
      </c>
      <c r="J398" s="71" t="n">
        <f aca="false">IF(J$5="A",0,I397)</f>
        <v>0</v>
      </c>
      <c r="K398" s="71" t="n">
        <f aca="false">IF(K$5="A",0,J397)</f>
        <v>0</v>
      </c>
      <c r="L398" s="71" t="n">
        <f aca="false">IF(L$5="A",0,K397)</f>
        <v>0</v>
      </c>
      <c r="M398" s="71" t="n">
        <f aca="false">IF(M$5="A",0,L397)</f>
        <v>0</v>
      </c>
      <c r="N398" s="71" t="n">
        <f aca="false">IF(N$5="A",0,M397)</f>
        <v>0</v>
      </c>
      <c r="O398" s="71" t="n">
        <f aca="false">IF(O$5="A",0,N397)</f>
        <v>0</v>
      </c>
      <c r="P398" s="71" t="n">
        <f aca="false">IF(P$5="A",0,O397)</f>
        <v>0</v>
      </c>
      <c r="Q398" s="71" t="n">
        <f aca="false">IF(Q$5="A",0,P397)</f>
        <v>0</v>
      </c>
      <c r="R398" s="71" t="n">
        <f aca="false">IF(R$5="A",0,Q397)</f>
        <v>0</v>
      </c>
      <c r="S398" s="71" t="n">
        <f aca="false">IF(S$5="A",0,R397)</f>
        <v>0</v>
      </c>
      <c r="T398" s="71" t="n">
        <f aca="false">IF(T$5="A",0,S397)</f>
        <v>0</v>
      </c>
      <c r="U398" s="71" t="n">
        <f aca="false">IF(U$5="A",0,T397)</f>
        <v>5930.98725124378</v>
      </c>
      <c r="V398" s="71" t="n">
        <f aca="false">IF(V$5="A",0,U397)</f>
        <v>4520.37406716418</v>
      </c>
      <c r="W398" s="71" t="n">
        <f aca="false">IF(W$5="A",0,V397)</f>
        <v>6123.34359452736</v>
      </c>
      <c r="X398" s="71" t="n">
        <f aca="false">IF(X$5="A",0,W397)</f>
        <v>5930.98725124378</v>
      </c>
      <c r="Y398" s="71" t="n">
        <f aca="false">IF(Y$5="A",0,X397)</f>
        <v>5193.62126865672</v>
      </c>
      <c r="Z398" s="71" t="n">
        <f aca="false">IF(Z$5="A",0,Y397)</f>
        <v>6123.34359452736</v>
      </c>
      <c r="AA398" s="71" t="n">
        <f aca="false">IF(AA$5="A",0,Z397)</f>
        <v>5578.33395522388</v>
      </c>
      <c r="AB398" s="71" t="n">
        <f aca="false">IF(AB$5="A",0,AA397)</f>
        <v>5834.80907960199</v>
      </c>
    </row>
    <row r="399" customFormat="false" ht="15" hidden="false" customHeight="false" outlineLevel="0" collapsed="false">
      <c r="A399" s="29" t="s">
        <v>847</v>
      </c>
      <c r="B399" s="60" t="s">
        <v>848</v>
      </c>
      <c r="C399" s="61" t="n">
        <f aca="false">P399</f>
        <v>0</v>
      </c>
      <c r="D399" s="61" t="n">
        <f aca="false">AB399</f>
        <v>110971.87772408</v>
      </c>
      <c r="E399" s="62" t="n">
        <f aca="false">Engagement_Register!$X$30+E393+E397-E398-E394</f>
        <v>0</v>
      </c>
      <c r="F399" s="71" t="n">
        <f aca="false">E399+F393+F397-F398-F394</f>
        <v>0</v>
      </c>
      <c r="G399" s="71" t="n">
        <f aca="false">F399+G393+G397-G398-G394</f>
        <v>0</v>
      </c>
      <c r="H399" s="71" t="n">
        <f aca="false">G399+H393+H397-H398-H394</f>
        <v>0</v>
      </c>
      <c r="I399" s="71" t="n">
        <f aca="false">H399+I393+I397-I398-I394</f>
        <v>0</v>
      </c>
      <c r="J399" s="71" t="n">
        <f aca="false">I399+J393+J397-J398-J394</f>
        <v>0</v>
      </c>
      <c r="K399" s="71" t="n">
        <f aca="false">J399+K393+K397-K398-K394</f>
        <v>0</v>
      </c>
      <c r="L399" s="71" t="n">
        <f aca="false">K399+L393+L397-L398-L394</f>
        <v>0</v>
      </c>
      <c r="M399" s="71" t="n">
        <f aca="false">L399+M393+M397-M398-M394</f>
        <v>0</v>
      </c>
      <c r="N399" s="71" t="n">
        <f aca="false">M399+N393+N397-N398-N394</f>
        <v>0</v>
      </c>
      <c r="O399" s="71" t="n">
        <f aca="false">N399+O393+O397-O398-O394</f>
        <v>0</v>
      </c>
      <c r="P399" s="71" t="n">
        <f aca="false">O399+P393+P397-P398-P394</f>
        <v>0</v>
      </c>
      <c r="Q399" s="71" t="n">
        <f aca="false">P399+Q393+Q397-Q398-Q394</f>
        <v>0</v>
      </c>
      <c r="R399" s="71" t="n">
        <f aca="false">Q399+R393+R397-R398-R394</f>
        <v>0</v>
      </c>
      <c r="S399" s="71" t="n">
        <f aca="false">R399+S393+S397-S398-S394</f>
        <v>0</v>
      </c>
      <c r="T399" s="71" t="n">
        <f aca="false">S399+T393+T397-T398-T394</f>
        <v>104212.169436318</v>
      </c>
      <c r="U399" s="71" t="n">
        <f aca="false">T399+U393+U397-U398-U394</f>
        <v>79426.572381194</v>
      </c>
      <c r="V399" s="71" t="n">
        <f aca="false">U399+V393+V397-V398-V394</f>
        <v>107592.023580199</v>
      </c>
      <c r="W399" s="71" t="n">
        <f aca="false">V399+W393+W397-W398-W394</f>
        <v>104212.169436318</v>
      </c>
      <c r="X399" s="71" t="n">
        <f aca="false">W399+X393+X397-X398-X394</f>
        <v>91256.0618847761</v>
      </c>
      <c r="Y399" s="71" t="n">
        <f aca="false">X399+Y393+Y397-Y398-Y394</f>
        <v>107592.023580199</v>
      </c>
      <c r="Z399" s="71" t="n">
        <f aca="false">Y399+Z393+Z397-Z398-Z394</f>
        <v>98015.7701725373</v>
      </c>
      <c r="AA399" s="71" t="n">
        <f aca="false">Z399+AA393+AA397-AA398-AA394</f>
        <v>102522.242364378</v>
      </c>
      <c r="AB399" s="71" t="n">
        <f aca="false">AA399+AB393+AB397-AB398-AB394</f>
        <v>110971.87772408</v>
      </c>
    </row>
    <row r="400" customFormat="false" ht="15" hidden="false" customHeight="false" outlineLevel="0" collapsed="false">
      <c r="A400" s="29" t="s">
        <v>890</v>
      </c>
      <c r="B400" s="60" t="s">
        <v>850</v>
      </c>
      <c r="C400" s="61" t="n">
        <f aca="false">P400</f>
        <v>821393.664</v>
      </c>
      <c r="D400" s="61" t="n">
        <f aca="false">AB400</f>
        <v>0</v>
      </c>
      <c r="E400" s="62" t="n">
        <f aca="false">MAX(0,Engagement_Register!$AM$30-E390)*Engagement_Register!$AE$30*Assumptions!E$194*(1-Engagement_Register!$AS$30)</f>
        <v>821393.664</v>
      </c>
      <c r="F400" s="62" t="n">
        <f aca="false">MAX(0,Engagement_Register!$AM$30-F390)*Engagement_Register!$AE$30*Assumptions!F$194*(1-Engagement_Register!$AS$30)</f>
        <v>821393.664</v>
      </c>
      <c r="G400" s="62" t="n">
        <f aca="false">MAX(0,Engagement_Register!$AM$30-G390)*Engagement_Register!$AE$30*Assumptions!G$194*(1-Engagement_Register!$AS$30)</f>
        <v>821393.664</v>
      </c>
      <c r="H400" s="62" t="n">
        <f aca="false">MAX(0,Engagement_Register!$AM$30-H390)*Engagement_Register!$AE$30*Assumptions!H$194*(1-Engagement_Register!$AS$30)</f>
        <v>821393.664</v>
      </c>
      <c r="I400" s="62" t="n">
        <f aca="false">MAX(0,Engagement_Register!$AM$30-I390)*Engagement_Register!$AE$30*Assumptions!I$194*(1-Engagement_Register!$AS$30)</f>
        <v>821393.664</v>
      </c>
      <c r="J400" s="62" t="n">
        <f aca="false">MAX(0,Engagement_Register!$AM$30-J390)*Engagement_Register!$AE$30*Assumptions!J$194*(1-Engagement_Register!$AS$30)</f>
        <v>821393.664</v>
      </c>
      <c r="K400" s="62" t="n">
        <f aca="false">MAX(0,Engagement_Register!$AM$30-K390)*Engagement_Register!$AE$30*Assumptions!K$194*(1-Engagement_Register!$AS$30)</f>
        <v>821393.664</v>
      </c>
      <c r="L400" s="62" t="n">
        <f aca="false">MAX(0,Engagement_Register!$AM$30-L390)*Engagement_Register!$AE$30*Assumptions!L$194*(1-Engagement_Register!$AS$30)</f>
        <v>821393.664</v>
      </c>
      <c r="M400" s="62" t="n">
        <f aca="false">MAX(0,Engagement_Register!$AM$30-M390)*Engagement_Register!$AE$30*Assumptions!M$194*(1-Engagement_Register!$AS$30)</f>
        <v>821393.664</v>
      </c>
      <c r="N400" s="62" t="n">
        <f aca="false">MAX(0,Engagement_Register!$AM$30-N390)*Engagement_Register!$AE$30*Assumptions!N$194*(1-Engagement_Register!$AS$30)</f>
        <v>821393.664</v>
      </c>
      <c r="O400" s="62" t="n">
        <f aca="false">MAX(0,Engagement_Register!$AM$30-O390)*Engagement_Register!$AE$30*Assumptions!O$194*(1-Engagement_Register!$AS$30)</f>
        <v>821393.664</v>
      </c>
      <c r="P400" s="62" t="n">
        <f aca="false">MAX(0,Engagement_Register!$AM$30-P390)*Engagement_Register!$AE$30*Assumptions!P$194*(1-Engagement_Register!$AS$30)</f>
        <v>821393.664</v>
      </c>
      <c r="Q400" s="62" t="n">
        <f aca="false">MAX(0,Engagement_Register!$AM$30-Q390)*Engagement_Register!$AE$30*Assumptions!Q$194*(1-Engagement_Register!$AS$30)</f>
        <v>854249.41056</v>
      </c>
      <c r="R400" s="62" t="n">
        <f aca="false">MAX(0,Engagement_Register!$AM$30-R390)*Engagement_Register!$AE$30*Assumptions!R$194*(1-Engagement_Register!$AS$30)</f>
        <v>854249.41056</v>
      </c>
      <c r="S400" s="62" t="n">
        <f aca="false">MAX(0,Engagement_Register!$AM$30-S390)*Engagement_Register!$AE$30*Assumptions!S$194*(1-Engagement_Register!$AS$30)</f>
        <v>854249.41056</v>
      </c>
      <c r="T400" s="62" t="n">
        <f aca="false">MAX(0,Engagement_Register!$AM$30-T390)*Engagement_Register!$AE$30*Assumptions!T$194*(1-Engagement_Register!$AS$30)</f>
        <v>755968.228374926</v>
      </c>
      <c r="U400" s="62" t="n">
        <f aca="false">MAX(0,Engagement_Register!$AM$30-U390)*Engagement_Register!$AE$30*Assumptions!U$194*(1-Engagement_Register!$AS$30)</f>
        <v>681062.030060896</v>
      </c>
      <c r="V400" s="62" t="n">
        <f aca="false">MAX(0,Engagement_Register!$AM$30-V390)*Engagement_Register!$AE$30*Assumptions!V$194*(1-Engagement_Register!$AS$30)</f>
        <v>579593.350075224</v>
      </c>
      <c r="W400" s="62" t="n">
        <f aca="false">MAX(0,Engagement_Register!$AM$30-W390)*Engagement_Register!$AE$30*Assumptions!W$194*(1-Engagement_Register!$AS$30)</f>
        <v>481312.167890149</v>
      </c>
      <c r="X400" s="62" t="n">
        <f aca="false">MAX(0,Engagement_Register!$AM$30-X390)*Engagement_Register!$AE$30*Assumptions!X$194*(1-Engagement_Register!$AS$30)</f>
        <v>395249.72727403</v>
      </c>
      <c r="Y400" s="62" t="n">
        <f aca="false">MAX(0,Engagement_Register!$AM$30-Y390)*Engagement_Register!$AE$30*Assumptions!Y$194*(1-Engagement_Register!$AS$30)</f>
        <v>293781.047288358</v>
      </c>
      <c r="Z400" s="62" t="n">
        <f aca="false">MAX(0,Engagement_Register!$AM$30-Z390)*Engagement_Register!$AE$30*Assumptions!Z$194*(1-Engagement_Register!$AS$30)</f>
        <v>201343.611071045</v>
      </c>
      <c r="AA400" s="62" t="n">
        <f aca="false">MAX(0,Engagement_Register!$AM$30-AA390)*Engagement_Register!$AE$30*Assumptions!AA$194*(1-Engagement_Register!$AS$30)</f>
        <v>104656.177786269</v>
      </c>
      <c r="AB400" s="62" t="n">
        <f aca="false">MAX(0,Engagement_Register!$AM$30-AB390)*Engagement_Register!$AE$30*Assumptions!AB$194*(1-Engagement_Register!$AS$30)</f>
        <v>0</v>
      </c>
    </row>
    <row r="402" customFormat="false" ht="15" hidden="false" customHeight="false" outlineLevel="0" collapsed="false">
      <c r="A402" s="23" t="s">
        <v>891</v>
      </c>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row>
    <row r="403" customFormat="false" ht="15" hidden="false" customHeight="false" outlineLevel="0" collapsed="false">
      <c r="A403" s="29" t="s">
        <v>736</v>
      </c>
      <c r="B403" s="60" t="s">
        <v>832</v>
      </c>
      <c r="C403" s="66" t="n">
        <f aca="false">P403</f>
        <v>0</v>
      </c>
      <c r="D403" s="66" t="n">
        <f aca="false">AB403</f>
        <v>1890</v>
      </c>
      <c r="E403" s="67" t="n">
        <f aca="false">Engagement_Register!$T$31+E33</f>
        <v>0</v>
      </c>
      <c r="F403" s="72" t="n">
        <f aca="false">E403+F33</f>
        <v>0</v>
      </c>
      <c r="G403" s="72" t="n">
        <f aca="false">F403+G33</f>
        <v>0</v>
      </c>
      <c r="H403" s="72" t="n">
        <f aca="false">G403+H33</f>
        <v>0</v>
      </c>
      <c r="I403" s="72" t="n">
        <f aca="false">H403+I33</f>
        <v>0</v>
      </c>
      <c r="J403" s="72" t="n">
        <f aca="false">I403+J33</f>
        <v>0</v>
      </c>
      <c r="K403" s="72" t="n">
        <f aca="false">J403+K33</f>
        <v>0</v>
      </c>
      <c r="L403" s="72" t="n">
        <f aca="false">K403+L33</f>
        <v>0</v>
      </c>
      <c r="M403" s="72" t="n">
        <f aca="false">L403+M33</f>
        <v>0</v>
      </c>
      <c r="N403" s="72" t="n">
        <f aca="false">M403+N33</f>
        <v>0</v>
      </c>
      <c r="O403" s="72" t="n">
        <f aca="false">N403+O33</f>
        <v>0</v>
      </c>
      <c r="P403" s="72" t="n">
        <f aca="false">O403+P33</f>
        <v>0</v>
      </c>
      <c r="Q403" s="72" t="n">
        <f aca="false">P403+Q33</f>
        <v>194.219653179191</v>
      </c>
      <c r="R403" s="72" t="n">
        <f aca="false">Q403+R33</f>
        <v>394.508670520231</v>
      </c>
      <c r="S403" s="72" t="n">
        <f aca="false">R403+S33</f>
        <v>609.364161849711</v>
      </c>
      <c r="T403" s="72" t="n">
        <f aca="false">S403+T33</f>
        <v>833.930635838151</v>
      </c>
      <c r="U403" s="72" t="n">
        <f aca="false">T403+U33</f>
        <v>1005.08670520231</v>
      </c>
      <c r="V403" s="72" t="n">
        <f aca="false">U403+V33</f>
        <v>1236.93641618497</v>
      </c>
      <c r="W403" s="72" t="n">
        <f aca="false">V403+W33</f>
        <v>1461.50289017341</v>
      </c>
      <c r="X403" s="72" t="n">
        <f aca="false">W403+X33</f>
        <v>1658.15028901734</v>
      </c>
      <c r="Y403" s="72" t="n">
        <f aca="false">X403+Y33</f>
        <v>1890</v>
      </c>
      <c r="Z403" s="72" t="n">
        <f aca="false">Y403+Z33</f>
        <v>1890</v>
      </c>
      <c r="AA403" s="72" t="n">
        <f aca="false">Z403+AA33</f>
        <v>1890</v>
      </c>
      <c r="AB403" s="72" t="n">
        <f aca="false">AA403+AB33</f>
        <v>1890</v>
      </c>
    </row>
    <row r="404" customFormat="false" ht="15" hidden="false" customHeight="false" outlineLevel="0" collapsed="false">
      <c r="A404" s="29" t="s">
        <v>852</v>
      </c>
      <c r="B404" s="60" t="s">
        <v>853</v>
      </c>
      <c r="C404" s="66" t="n">
        <f aca="false">P404</f>
        <v>1890</v>
      </c>
      <c r="D404" s="66" t="n">
        <f aca="false">AB404</f>
        <v>1890</v>
      </c>
      <c r="E404" s="67" t="n">
        <f aca="false">IF(E$5="A",Engagement_Register!$AM$31,Engagement_Register!$AM$31)</f>
        <v>1890</v>
      </c>
      <c r="F404" s="67" t="n">
        <f aca="false">IF(F$5="A",Engagement_Register!$AM$31,Engagement_Register!$AM$31)</f>
        <v>1890</v>
      </c>
      <c r="G404" s="67" t="n">
        <f aca="false">IF(G$5="A",Engagement_Register!$AM$31,Engagement_Register!$AM$31)</f>
        <v>1890</v>
      </c>
      <c r="H404" s="67" t="n">
        <f aca="false">IF(H$5="A",Engagement_Register!$AM$31,Engagement_Register!$AM$31)</f>
        <v>1890</v>
      </c>
      <c r="I404" s="67" t="n">
        <f aca="false">IF(I$5="A",Engagement_Register!$AM$31,Engagement_Register!$AM$31)</f>
        <v>1890</v>
      </c>
      <c r="J404" s="67" t="n">
        <f aca="false">IF(J$5="A",Engagement_Register!$AM$31,Engagement_Register!$AM$31)</f>
        <v>1890</v>
      </c>
      <c r="K404" s="67" t="n">
        <f aca="false">IF(K$5="A",Engagement_Register!$AM$31,Engagement_Register!$AM$31)</f>
        <v>1890</v>
      </c>
      <c r="L404" s="67" t="n">
        <f aca="false">IF(L$5="A",Engagement_Register!$AM$31,Engagement_Register!$AM$31)</f>
        <v>1890</v>
      </c>
      <c r="M404" s="67" t="n">
        <f aca="false">IF(M$5="A",Engagement_Register!$AM$31,Engagement_Register!$AM$31)</f>
        <v>1890</v>
      </c>
      <c r="N404" s="67" t="n">
        <f aca="false">IF(N$5="A",Engagement_Register!$AM$31,Engagement_Register!$AM$31)</f>
        <v>1890</v>
      </c>
      <c r="O404" s="67" t="n">
        <f aca="false">IF(O$5="A",Engagement_Register!$AM$31,Engagement_Register!$AM$31)</f>
        <v>1890</v>
      </c>
      <c r="P404" s="67" t="n">
        <f aca="false">IF(P$5="A",Engagement_Register!$AM$31,Engagement_Register!$AM$31)</f>
        <v>1890</v>
      </c>
      <c r="Q404" s="67" t="n">
        <f aca="false">IF(Q$5="A",Engagement_Register!$AM$31,Engagement_Register!$AM$31)</f>
        <v>1890</v>
      </c>
      <c r="R404" s="67" t="n">
        <f aca="false">IF(R$5="A",Engagement_Register!$AM$31,Engagement_Register!$AM$31)</f>
        <v>1890</v>
      </c>
      <c r="S404" s="67" t="n">
        <f aca="false">IF(S$5="A",Engagement_Register!$AM$31,Engagement_Register!$AM$31)</f>
        <v>1890</v>
      </c>
      <c r="T404" s="67" t="n">
        <f aca="false">IF(T$5="A",Engagement_Register!$AM$31,Engagement_Register!$AM$31)</f>
        <v>1890</v>
      </c>
      <c r="U404" s="67" t="n">
        <f aca="false">IF(U$5="A",Engagement_Register!$AM$31,Engagement_Register!$AM$31)</f>
        <v>1890</v>
      </c>
      <c r="V404" s="67" t="n">
        <f aca="false">IF(V$5="A",Engagement_Register!$AM$31,Engagement_Register!$AM$31)</f>
        <v>1890</v>
      </c>
      <c r="W404" s="67" t="n">
        <f aca="false">IF(W$5="A",Engagement_Register!$AM$31,Engagement_Register!$AM$31)</f>
        <v>1890</v>
      </c>
      <c r="X404" s="67" t="n">
        <f aca="false">IF(X$5="A",Engagement_Register!$AM$31,Engagement_Register!$AM$31)</f>
        <v>1890</v>
      </c>
      <c r="Y404" s="67" t="n">
        <f aca="false">IF(Y$5="A",Engagement_Register!$AM$31,Engagement_Register!$AM$31)</f>
        <v>1890</v>
      </c>
      <c r="Z404" s="67" t="n">
        <f aca="false">IF(Z$5="A",Engagement_Register!$AM$31,Engagement_Register!$AM$31)</f>
        <v>1890</v>
      </c>
      <c r="AA404" s="67" t="n">
        <f aca="false">IF(AA$5="A",Engagement_Register!$AM$31,Engagement_Register!$AM$31)</f>
        <v>1890</v>
      </c>
      <c r="AB404" s="67" t="n">
        <f aca="false">IF(AB$5="A",Engagement_Register!$AM$31,Engagement_Register!$AM$31)</f>
        <v>1890</v>
      </c>
    </row>
    <row r="405" customFormat="false" ht="15" hidden="false" customHeight="false" outlineLevel="0" collapsed="false">
      <c r="A405" s="29" t="s">
        <v>854</v>
      </c>
      <c r="B405" s="60" t="s">
        <v>855</v>
      </c>
      <c r="C405" s="63" t="n">
        <f aca="false">P405</f>
        <v>0</v>
      </c>
      <c r="D405" s="63" t="n">
        <f aca="false">AB405</f>
        <v>1</v>
      </c>
      <c r="E405" s="64" t="n">
        <f aca="false">IF(E404&lt;=0,0,MIN(1,E403/E404))</f>
        <v>0</v>
      </c>
      <c r="F405" s="64" t="n">
        <f aca="false">IF(F404&lt;=0,0,MIN(1,F403/F404))</f>
        <v>0</v>
      </c>
      <c r="G405" s="64" t="n">
        <f aca="false">IF(G404&lt;=0,0,MIN(1,G403/G404))</f>
        <v>0</v>
      </c>
      <c r="H405" s="64" t="n">
        <f aca="false">IF(H404&lt;=0,0,MIN(1,H403/H404))</f>
        <v>0</v>
      </c>
      <c r="I405" s="64" t="n">
        <f aca="false">IF(I404&lt;=0,0,MIN(1,I403/I404))</f>
        <v>0</v>
      </c>
      <c r="J405" s="64" t="n">
        <f aca="false">IF(J404&lt;=0,0,MIN(1,J403/J404))</f>
        <v>0</v>
      </c>
      <c r="K405" s="64" t="n">
        <f aca="false">IF(K404&lt;=0,0,MIN(1,K403/K404))</f>
        <v>0</v>
      </c>
      <c r="L405" s="64" t="n">
        <f aca="false">IF(L404&lt;=0,0,MIN(1,L403/L404))</f>
        <v>0</v>
      </c>
      <c r="M405" s="64" t="n">
        <f aca="false">IF(M404&lt;=0,0,MIN(1,M403/M404))</f>
        <v>0</v>
      </c>
      <c r="N405" s="64" t="n">
        <f aca="false">IF(N404&lt;=0,0,MIN(1,N403/N404))</f>
        <v>0</v>
      </c>
      <c r="O405" s="64" t="n">
        <f aca="false">IF(O404&lt;=0,0,MIN(1,O403/O404))</f>
        <v>0</v>
      </c>
      <c r="P405" s="64" t="n">
        <f aca="false">IF(P404&lt;=0,0,MIN(1,P403/P404))</f>
        <v>0</v>
      </c>
      <c r="Q405" s="64" t="n">
        <f aca="false">IF(Q404&lt;=0,0,MIN(1,Q403/Q404))</f>
        <v>0.102761721258831</v>
      </c>
      <c r="R405" s="64" t="n">
        <f aca="false">IF(R404&lt;=0,0,MIN(1,R403/R404))</f>
        <v>0.208734746307001</v>
      </c>
      <c r="S405" s="64" t="n">
        <f aca="false">IF(S404&lt;=0,0,MIN(1,S403/S404))</f>
        <v>0.322414900449583</v>
      </c>
      <c r="T405" s="64" t="n">
        <f aca="false">IF(T404&lt;=0,0,MIN(1,T403/T404))</f>
        <v>0.441233140655106</v>
      </c>
      <c r="U405" s="64" t="n">
        <f aca="false">IF(U404&lt;=0,0,MIN(1,U403/U404))</f>
        <v>0.531791907514451</v>
      </c>
      <c r="V405" s="64" t="n">
        <f aca="false">IF(V404&lt;=0,0,MIN(1,V403/V404))</f>
        <v>0.654463712267181</v>
      </c>
      <c r="W405" s="64" t="n">
        <f aca="false">IF(W404&lt;=0,0,MIN(1,W403/W404))</f>
        <v>0.773281952472704</v>
      </c>
      <c r="X405" s="64" t="n">
        <f aca="false">IF(X404&lt;=0,0,MIN(1,X403/X404))</f>
        <v>0.877328195247271</v>
      </c>
      <c r="Y405" s="64" t="n">
        <f aca="false">IF(Y404&lt;=0,0,MIN(1,Y403/Y404))</f>
        <v>1</v>
      </c>
      <c r="Z405" s="64" t="n">
        <f aca="false">IF(Z404&lt;=0,0,MIN(1,Z403/Z404))</f>
        <v>1</v>
      </c>
      <c r="AA405" s="64" t="n">
        <f aca="false">IF(AA404&lt;=0,0,MIN(1,AA403/AA404))</f>
        <v>1</v>
      </c>
      <c r="AB405" s="64" t="n">
        <f aca="false">IF(AB404&lt;=0,0,MIN(1,AB403/AB404))</f>
        <v>1</v>
      </c>
    </row>
    <row r="406" customFormat="false" ht="15" hidden="false" customHeight="false" outlineLevel="0" collapsed="false">
      <c r="A406" s="29" t="s">
        <v>833</v>
      </c>
      <c r="B406" s="60" t="s">
        <v>834</v>
      </c>
      <c r="C406" s="61" t="n">
        <f aca="false">SUM(E406:P406)</f>
        <v>0</v>
      </c>
      <c r="D406" s="61" t="n">
        <f aca="false">SUM(Q406:AB406)</f>
        <v>386633.52</v>
      </c>
      <c r="E406" s="62" t="n">
        <f aca="false">E33*Engagement_Register!$AD$31*Assumptions!E$194</f>
        <v>0</v>
      </c>
      <c r="F406" s="62" t="n">
        <f aca="false">F33*Engagement_Register!$AD$31*Assumptions!F$194</f>
        <v>0</v>
      </c>
      <c r="G406" s="62" t="n">
        <f aca="false">G33*Engagement_Register!$AD$31*Assumptions!G$194</f>
        <v>0</v>
      </c>
      <c r="H406" s="62" t="n">
        <f aca="false">H33*Engagement_Register!$AD$31*Assumptions!H$194</f>
        <v>0</v>
      </c>
      <c r="I406" s="62" t="n">
        <f aca="false">I33*Engagement_Register!$AD$31*Assumptions!I$194</f>
        <v>0</v>
      </c>
      <c r="J406" s="62" t="n">
        <f aca="false">J33*Engagement_Register!$AD$31*Assumptions!J$194</f>
        <v>0</v>
      </c>
      <c r="K406" s="62" t="n">
        <f aca="false">K33*Engagement_Register!$AD$31*Assumptions!K$194</f>
        <v>0</v>
      </c>
      <c r="L406" s="62" t="n">
        <f aca="false">L33*Engagement_Register!$AD$31*Assumptions!L$194</f>
        <v>0</v>
      </c>
      <c r="M406" s="62" t="n">
        <f aca="false">M33*Engagement_Register!$AD$31*Assumptions!M$194</f>
        <v>0</v>
      </c>
      <c r="N406" s="62" t="n">
        <f aca="false">N33*Engagement_Register!$AD$31*Assumptions!N$194</f>
        <v>0</v>
      </c>
      <c r="O406" s="62" t="n">
        <f aca="false">O33*Engagement_Register!$AD$31*Assumptions!O$194</f>
        <v>0</v>
      </c>
      <c r="P406" s="62" t="n">
        <f aca="false">P33*Engagement_Register!$AD$31*Assumptions!P$194</f>
        <v>0</v>
      </c>
      <c r="Q406" s="62" t="n">
        <f aca="false">Q33*Engagement_Register!$AD$31*Assumptions!Q$194</f>
        <v>39731.1260115607</v>
      </c>
      <c r="R406" s="62" t="n">
        <f aca="false">R33*Engagement_Register!$AD$31*Assumptions!R$194</f>
        <v>40972.723699422</v>
      </c>
      <c r="S406" s="62" t="n">
        <f aca="false">S33*Engagement_Register!$AD$31*Assumptions!S$194</f>
        <v>43952.558150289</v>
      </c>
      <c r="T406" s="62" t="n">
        <f aca="false">T33*Engagement_Register!$AD$31*Assumptions!T$194</f>
        <v>45939.1144508671</v>
      </c>
      <c r="U406" s="62" t="n">
        <f aca="false">U33*Engagement_Register!$AD$31*Assumptions!U$194</f>
        <v>35013.0547976879</v>
      </c>
      <c r="V406" s="62" t="n">
        <f aca="false">V33*Engagement_Register!$AD$31*Assumptions!V$194</f>
        <v>47429.0316763006</v>
      </c>
      <c r="W406" s="62" t="n">
        <f aca="false">W33*Engagement_Register!$AD$31*Assumptions!W$194</f>
        <v>45939.1144508671</v>
      </c>
      <c r="X406" s="62" t="n">
        <f aca="false">X33*Engagement_Register!$AD$31*Assumptions!X$194</f>
        <v>40227.7650867052</v>
      </c>
      <c r="Y406" s="62" t="n">
        <f aca="false">Y33*Engagement_Register!$AD$31*Assumptions!Y$194</f>
        <v>47429.0316763006</v>
      </c>
      <c r="Z406" s="62" t="n">
        <f aca="false">Z33*Engagement_Register!$AD$31*Assumptions!Z$194</f>
        <v>0</v>
      </c>
      <c r="AA406" s="62" t="n">
        <f aca="false">AA33*Engagement_Register!$AD$31*Assumptions!AA$194</f>
        <v>0</v>
      </c>
      <c r="AB406" s="62" t="n">
        <f aca="false">AB33*Engagement_Register!$AD$31*Assumptions!AB$194</f>
        <v>0</v>
      </c>
    </row>
    <row r="407" customFormat="false" ht="15" hidden="false" customHeight="false" outlineLevel="0" collapsed="false">
      <c r="A407" s="29" t="s">
        <v>835</v>
      </c>
      <c r="B407" s="60" t="s">
        <v>836</v>
      </c>
      <c r="C407" s="61" t="n">
        <f aca="false">SUM(E407:P407)</f>
        <v>0</v>
      </c>
      <c r="D407" s="61" t="n">
        <f aca="false">SUM(Q407:AB407)</f>
        <v>355702.8384</v>
      </c>
      <c r="E407" s="62" t="n">
        <f aca="false">E33*Engagement_Register!$AE$31*Assumptions!E$194</f>
        <v>0</v>
      </c>
      <c r="F407" s="62" t="n">
        <f aca="false">F33*Engagement_Register!$AE$31*Assumptions!F$194</f>
        <v>0</v>
      </c>
      <c r="G407" s="62" t="n">
        <f aca="false">G33*Engagement_Register!$AE$31*Assumptions!G$194</f>
        <v>0</v>
      </c>
      <c r="H407" s="62" t="n">
        <f aca="false">H33*Engagement_Register!$AE$31*Assumptions!H$194</f>
        <v>0</v>
      </c>
      <c r="I407" s="62" t="n">
        <f aca="false">I33*Engagement_Register!$AE$31*Assumptions!I$194</f>
        <v>0</v>
      </c>
      <c r="J407" s="62" t="n">
        <f aca="false">J33*Engagement_Register!$AE$31*Assumptions!J$194</f>
        <v>0</v>
      </c>
      <c r="K407" s="62" t="n">
        <f aca="false">K33*Engagement_Register!$AE$31*Assumptions!K$194</f>
        <v>0</v>
      </c>
      <c r="L407" s="62" t="n">
        <f aca="false">L33*Engagement_Register!$AE$31*Assumptions!L$194</f>
        <v>0</v>
      </c>
      <c r="M407" s="62" t="n">
        <f aca="false">M33*Engagement_Register!$AE$31*Assumptions!M$194</f>
        <v>0</v>
      </c>
      <c r="N407" s="62" t="n">
        <f aca="false">N33*Engagement_Register!$AE$31*Assumptions!N$194</f>
        <v>0</v>
      </c>
      <c r="O407" s="62" t="n">
        <f aca="false">O33*Engagement_Register!$AE$31*Assumptions!O$194</f>
        <v>0</v>
      </c>
      <c r="P407" s="62" t="n">
        <f aca="false">P33*Engagement_Register!$AE$31*Assumptions!P$194</f>
        <v>0</v>
      </c>
      <c r="Q407" s="62" t="n">
        <f aca="false">Q33*Engagement_Register!$AE$31*Assumptions!Q$194</f>
        <v>36552.6359306359</v>
      </c>
      <c r="R407" s="62" t="n">
        <f aca="false">R33*Engagement_Register!$AE$31*Assumptions!R$194</f>
        <v>37694.9058034682</v>
      </c>
      <c r="S407" s="62" t="n">
        <f aca="false">S33*Engagement_Register!$AE$31*Assumptions!S$194</f>
        <v>40436.3534982659</v>
      </c>
      <c r="T407" s="62" t="n">
        <f aca="false">T33*Engagement_Register!$AE$31*Assumptions!T$194</f>
        <v>42263.9852947977</v>
      </c>
      <c r="U407" s="62" t="n">
        <f aca="false">U33*Engagement_Register!$AE$31*Assumptions!U$194</f>
        <v>32212.0104138728</v>
      </c>
      <c r="V407" s="62" t="n">
        <f aca="false">V33*Engagement_Register!$AE$31*Assumptions!V$194</f>
        <v>43634.7091421965</v>
      </c>
      <c r="W407" s="62" t="n">
        <f aca="false">W33*Engagement_Register!$AE$31*Assumptions!W$194</f>
        <v>42263.9852947977</v>
      </c>
      <c r="X407" s="62" t="n">
        <f aca="false">X33*Engagement_Register!$AE$31*Assumptions!X$194</f>
        <v>37009.5438797688</v>
      </c>
      <c r="Y407" s="62" t="n">
        <f aca="false">Y33*Engagement_Register!$AE$31*Assumptions!Y$194</f>
        <v>43634.7091421965</v>
      </c>
      <c r="Z407" s="62" t="n">
        <f aca="false">Z33*Engagement_Register!$AE$31*Assumptions!Z$194</f>
        <v>0</v>
      </c>
      <c r="AA407" s="62" t="n">
        <f aca="false">AA33*Engagement_Register!$AE$31*Assumptions!AA$194</f>
        <v>0</v>
      </c>
      <c r="AB407" s="62" t="n">
        <f aca="false">AB33*Engagement_Register!$AE$31*Assumptions!AB$194</f>
        <v>0</v>
      </c>
    </row>
    <row r="408" customFormat="false" ht="15" hidden="false" customHeight="false" outlineLevel="0" collapsed="false">
      <c r="A408" s="29" t="s">
        <v>856</v>
      </c>
      <c r="B408" s="60" t="s">
        <v>857</v>
      </c>
      <c r="C408" s="61" t="n">
        <f aca="false">P408</f>
        <v>0</v>
      </c>
      <c r="D408" s="61" t="n">
        <f aca="false">AB408</f>
        <v>355702.8384</v>
      </c>
      <c r="E408" s="62" t="n">
        <f aca="false">Engagement_Register!$W$31+E407</f>
        <v>0</v>
      </c>
      <c r="F408" s="71" t="n">
        <f aca="false">E408+F407</f>
        <v>0</v>
      </c>
      <c r="G408" s="71" t="n">
        <f aca="false">F408+G407</f>
        <v>0</v>
      </c>
      <c r="H408" s="71" t="n">
        <f aca="false">G408+H407</f>
        <v>0</v>
      </c>
      <c r="I408" s="71" t="n">
        <f aca="false">H408+I407</f>
        <v>0</v>
      </c>
      <c r="J408" s="71" t="n">
        <f aca="false">I408+J407</f>
        <v>0</v>
      </c>
      <c r="K408" s="71" t="n">
        <f aca="false">J408+K407</f>
        <v>0</v>
      </c>
      <c r="L408" s="71" t="n">
        <f aca="false">K408+L407</f>
        <v>0</v>
      </c>
      <c r="M408" s="71" t="n">
        <f aca="false">L408+M407</f>
        <v>0</v>
      </c>
      <c r="N408" s="71" t="n">
        <f aca="false">M408+N407</f>
        <v>0</v>
      </c>
      <c r="O408" s="71" t="n">
        <f aca="false">N408+O407</f>
        <v>0</v>
      </c>
      <c r="P408" s="71" t="n">
        <f aca="false">O408+P407</f>
        <v>0</v>
      </c>
      <c r="Q408" s="71" t="n">
        <f aca="false">P408+Q407</f>
        <v>36552.6359306359</v>
      </c>
      <c r="R408" s="71" t="n">
        <f aca="false">Q408+R407</f>
        <v>74247.5417341041</v>
      </c>
      <c r="S408" s="71" t="n">
        <f aca="false">R408+S407</f>
        <v>114683.89523237</v>
      </c>
      <c r="T408" s="71" t="n">
        <f aca="false">S408+T407</f>
        <v>156947.880527168</v>
      </c>
      <c r="U408" s="71" t="n">
        <f aca="false">T408+U407</f>
        <v>189159.890941041</v>
      </c>
      <c r="V408" s="71" t="n">
        <f aca="false">U408+V407</f>
        <v>232794.600083237</v>
      </c>
      <c r="W408" s="71" t="n">
        <f aca="false">V408+W407</f>
        <v>275058.585378035</v>
      </c>
      <c r="X408" s="71" t="n">
        <f aca="false">W408+X407</f>
        <v>312068.129257804</v>
      </c>
      <c r="Y408" s="71" t="n">
        <f aca="false">X408+Y407</f>
        <v>355702.8384</v>
      </c>
      <c r="Z408" s="71" t="n">
        <f aca="false">Y408+Z407</f>
        <v>355702.8384</v>
      </c>
      <c r="AA408" s="71" t="n">
        <f aca="false">Z408+AA407</f>
        <v>355702.8384</v>
      </c>
      <c r="AB408" s="71" t="n">
        <f aca="false">AA408+AB407</f>
        <v>355702.8384</v>
      </c>
    </row>
    <row r="409" customFormat="false" ht="15" hidden="false" customHeight="false" outlineLevel="0" collapsed="false">
      <c r="A409" s="29" t="s">
        <v>742</v>
      </c>
      <c r="B409" s="60" t="s">
        <v>858</v>
      </c>
      <c r="C409" s="61" t="n">
        <f aca="false">P409</f>
        <v>0</v>
      </c>
      <c r="D409" s="61" t="n">
        <f aca="false">AB409</f>
        <v>320000</v>
      </c>
      <c r="E409" s="62" t="n">
        <f aca="false">IF(E$5="A",Engagement_Register!$U$31+0,IF(Engagement_Register!$AQ$31&gt;Engagement_Register!$AP$31,Engagement_Register!$AP$31*E405,E408))</f>
        <v>0</v>
      </c>
      <c r="F409" s="62" t="n">
        <f aca="false">IF(F$5="A",E409+0,IF(Engagement_Register!$AQ$31&gt;Engagement_Register!$AP$31,Engagement_Register!$AP$31*F405,F408))</f>
        <v>0</v>
      </c>
      <c r="G409" s="62" t="n">
        <f aca="false">IF(G$5="A",F409+0,IF(Engagement_Register!$AQ$31&gt;Engagement_Register!$AP$31,Engagement_Register!$AP$31*G405,G408))</f>
        <v>0</v>
      </c>
      <c r="H409" s="62" t="n">
        <f aca="false">IF(H$5="A",G409+0,IF(Engagement_Register!$AQ$31&gt;Engagement_Register!$AP$31,Engagement_Register!$AP$31*H405,H408))</f>
        <v>0</v>
      </c>
      <c r="I409" s="62" t="n">
        <f aca="false">IF(I$5="A",H409+0,IF(Engagement_Register!$AQ$31&gt;Engagement_Register!$AP$31,Engagement_Register!$AP$31*I405,I408))</f>
        <v>0</v>
      </c>
      <c r="J409" s="62" t="n">
        <f aca="false">IF(J$5="A",I409+0,IF(Engagement_Register!$AQ$31&gt;Engagement_Register!$AP$31,Engagement_Register!$AP$31*J405,J408))</f>
        <v>0</v>
      </c>
      <c r="K409" s="62" t="n">
        <f aca="false">IF(K$5="A",J409+0,IF(Engagement_Register!$AQ$31&gt;Engagement_Register!$AP$31,Engagement_Register!$AP$31*K405,K408))</f>
        <v>0</v>
      </c>
      <c r="L409" s="62" t="n">
        <f aca="false">IF(L$5="A",K409+0,IF(Engagement_Register!$AQ$31&gt;Engagement_Register!$AP$31,Engagement_Register!$AP$31*L405,L408))</f>
        <v>0</v>
      </c>
      <c r="M409" s="62" t="n">
        <f aca="false">IF(M$5="A",L409+0,IF(Engagement_Register!$AQ$31&gt;Engagement_Register!$AP$31,Engagement_Register!$AP$31*M405,M408))</f>
        <v>0</v>
      </c>
      <c r="N409" s="62" t="n">
        <f aca="false">IF(N$5="A",M409+0,IF(Engagement_Register!$AQ$31&gt;Engagement_Register!$AP$31,Engagement_Register!$AP$31*N405,N408))</f>
        <v>0</v>
      </c>
      <c r="O409" s="62" t="n">
        <f aca="false">IF(O$5="A",N409+0,IF(Engagement_Register!$AQ$31&gt;Engagement_Register!$AP$31,Engagement_Register!$AP$31*O405,O408))</f>
        <v>0</v>
      </c>
      <c r="P409" s="62" t="n">
        <f aca="false">IF(P$5="A",O409+0,IF(Engagement_Register!$AQ$31&gt;Engagement_Register!$AP$31,Engagement_Register!$AP$31*P405,P408))</f>
        <v>0</v>
      </c>
      <c r="Q409" s="62" t="n">
        <f aca="false">IF(Q$5="A",P409+0,IF(Engagement_Register!$AQ$31&gt;Engagement_Register!$AP$31,Engagement_Register!$AP$31*Q405,Q408))</f>
        <v>32883.750802826</v>
      </c>
      <c r="R409" s="62" t="n">
        <f aca="false">IF(R$5="A",Q409+0,IF(Engagement_Register!$AQ$31&gt;Engagement_Register!$AP$31,Engagement_Register!$AP$31*R405,R408))</f>
        <v>66795.1188182402</v>
      </c>
      <c r="S409" s="62" t="n">
        <f aca="false">IF(S$5="A",R409+0,IF(Engagement_Register!$AQ$31&gt;Engagement_Register!$AP$31,Engagement_Register!$AP$31*S405,S408))</f>
        <v>103172.768143866</v>
      </c>
      <c r="T409" s="62" t="n">
        <f aca="false">IF(T$5="A",S409+0,IF(Engagement_Register!$AQ$31&gt;Engagement_Register!$AP$31,Engagement_Register!$AP$31*T405,T408))</f>
        <v>141194.605009634</v>
      </c>
      <c r="U409" s="62" t="n">
        <f aca="false">IF(U$5="A",T409+0,IF(Engagement_Register!$AQ$31&gt;Engagement_Register!$AP$31,Engagement_Register!$AP$31*U405,U408))</f>
        <v>170173.410404624</v>
      </c>
      <c r="V409" s="62" t="n">
        <f aca="false">IF(V$5="A",U409+0,IF(Engagement_Register!$AQ$31&gt;Engagement_Register!$AP$31,Engagement_Register!$AP$31*V405,V408))</f>
        <v>209428.387925498</v>
      </c>
      <c r="W409" s="62" t="n">
        <f aca="false">IF(W$5="A",V409+0,IF(Engagement_Register!$AQ$31&gt;Engagement_Register!$AP$31,Engagement_Register!$AP$31*W405,W408))</f>
        <v>247450.224791265</v>
      </c>
      <c r="X409" s="62" t="n">
        <f aca="false">IF(X$5="A",W409+0,IF(Engagement_Register!$AQ$31&gt;Engagement_Register!$AP$31,Engagement_Register!$AP$31*X405,X408))</f>
        <v>280745.022479127</v>
      </c>
      <c r="Y409" s="62" t="n">
        <f aca="false">IF(Y$5="A",X409+0,IF(Engagement_Register!$AQ$31&gt;Engagement_Register!$AP$31,Engagement_Register!$AP$31*Y405,Y408))</f>
        <v>320000</v>
      </c>
      <c r="Z409" s="62" t="n">
        <f aca="false">IF(Z$5="A",Y409+0,IF(Engagement_Register!$AQ$31&gt;Engagement_Register!$AP$31,Engagement_Register!$AP$31*Z405,Z408))</f>
        <v>320000</v>
      </c>
      <c r="AA409" s="62" t="n">
        <f aca="false">IF(AA$5="A",Z409+0,IF(Engagement_Register!$AQ$31&gt;Engagement_Register!$AP$31,Engagement_Register!$AP$31*AA405,AA408))</f>
        <v>320000</v>
      </c>
      <c r="AB409" s="62" t="n">
        <f aca="false">IF(AB$5="A",AA409+0,IF(Engagement_Register!$AQ$31&gt;Engagement_Register!$AP$31,Engagement_Register!$AP$31*AB405,AB408))</f>
        <v>320000</v>
      </c>
    </row>
    <row r="410" customFormat="false" ht="15" hidden="false" customHeight="false" outlineLevel="0" collapsed="false">
      <c r="A410" s="68" t="s">
        <v>349</v>
      </c>
      <c r="B410" s="69" t="s">
        <v>859</v>
      </c>
      <c r="C410" s="70" t="n">
        <f aca="false">SUM(E410:P410)</f>
        <v>0</v>
      </c>
      <c r="D410" s="70" t="n">
        <f aca="false">SUM(Q410:AB410)</f>
        <v>320000</v>
      </c>
      <c r="E410" s="74" t="n">
        <f aca="false">E409-Engagement_Register!$U$31</f>
        <v>0</v>
      </c>
      <c r="F410" s="70" t="n">
        <f aca="false">F409-E409</f>
        <v>0</v>
      </c>
      <c r="G410" s="70" t="n">
        <f aca="false">G409-F409</f>
        <v>0</v>
      </c>
      <c r="H410" s="70" t="n">
        <f aca="false">H409-G409</f>
        <v>0</v>
      </c>
      <c r="I410" s="70" t="n">
        <f aca="false">I409-H409</f>
        <v>0</v>
      </c>
      <c r="J410" s="70" t="n">
        <f aca="false">J409-I409</f>
        <v>0</v>
      </c>
      <c r="K410" s="70" t="n">
        <f aca="false">K409-J409</f>
        <v>0</v>
      </c>
      <c r="L410" s="70" t="n">
        <f aca="false">L409-K409</f>
        <v>0</v>
      </c>
      <c r="M410" s="70" t="n">
        <f aca="false">M409-L409</f>
        <v>0</v>
      </c>
      <c r="N410" s="70" t="n">
        <f aca="false">N409-M409</f>
        <v>0</v>
      </c>
      <c r="O410" s="70" t="n">
        <f aca="false">O409-N409</f>
        <v>0</v>
      </c>
      <c r="P410" s="70" t="n">
        <f aca="false">P409-O409</f>
        <v>0</v>
      </c>
      <c r="Q410" s="70" t="n">
        <f aca="false">Q409-P409</f>
        <v>32883.750802826</v>
      </c>
      <c r="R410" s="70" t="n">
        <f aca="false">R409-Q409</f>
        <v>33911.3680154143</v>
      </c>
      <c r="S410" s="70" t="n">
        <f aca="false">S409-R409</f>
        <v>36377.6493256262</v>
      </c>
      <c r="T410" s="70" t="n">
        <f aca="false">T409-S409</f>
        <v>38021.8368657675</v>
      </c>
      <c r="U410" s="70" t="n">
        <f aca="false">U409-T409</f>
        <v>28978.8053949904</v>
      </c>
      <c r="V410" s="70" t="n">
        <f aca="false">V409-U409</f>
        <v>39254.9775208735</v>
      </c>
      <c r="W410" s="70" t="n">
        <f aca="false">W409-V409</f>
        <v>38021.8368657675</v>
      </c>
      <c r="X410" s="70" t="n">
        <f aca="false">X409-W409</f>
        <v>33294.7976878612</v>
      </c>
      <c r="Y410" s="70" t="n">
        <f aca="false">Y409-X409</f>
        <v>39254.9775208735</v>
      </c>
      <c r="Z410" s="70" t="n">
        <f aca="false">Z409-Y409</f>
        <v>0</v>
      </c>
      <c r="AA410" s="70" t="n">
        <f aca="false">AA409-Z409</f>
        <v>0</v>
      </c>
      <c r="AB410" s="70" t="n">
        <f aca="false">AB409-AA409</f>
        <v>0</v>
      </c>
    </row>
    <row r="411" customFormat="false" ht="15" hidden="false" customHeight="false" outlineLevel="0" collapsed="false">
      <c r="A411" s="29" t="s">
        <v>838</v>
      </c>
      <c r="B411" s="60" t="s">
        <v>860</v>
      </c>
      <c r="C411" s="61" t="n">
        <f aca="false">SUM(E411:P411)</f>
        <v>0</v>
      </c>
      <c r="D411" s="61" t="n">
        <f aca="false">SUM(Q411:AB411)</f>
        <v>320000</v>
      </c>
      <c r="E411" s="62" t="n">
        <f aca="false">IF(E$5="A",0,MAX(0,MIN(0,Engagement_Register!$AP$31-Engagement_Register!$V$31)))</f>
        <v>0</v>
      </c>
      <c r="F411" s="62" t="n">
        <f aca="false">IF(F$5="A",0,MAX(0,MIN(E407,Engagement_Register!$AP$31-E412)))</f>
        <v>0</v>
      </c>
      <c r="G411" s="62" t="n">
        <f aca="false">IF(G$5="A",0,MAX(0,MIN(F407,Engagement_Register!$AP$31-F412)))</f>
        <v>0</v>
      </c>
      <c r="H411" s="62" t="n">
        <f aca="false">IF(H$5="A",0,MAX(0,MIN(G407,Engagement_Register!$AP$31-G412)))</f>
        <v>0</v>
      </c>
      <c r="I411" s="62" t="n">
        <f aca="false">IF(I$5="A",0,MAX(0,MIN(H407,Engagement_Register!$AP$31-H412)))</f>
        <v>0</v>
      </c>
      <c r="J411" s="62" t="n">
        <f aca="false">IF(J$5="A",0,MAX(0,MIN(I407,Engagement_Register!$AP$31-I412)))</f>
        <v>0</v>
      </c>
      <c r="K411" s="62" t="n">
        <f aca="false">IF(K$5="A",0,MAX(0,MIN(J407,Engagement_Register!$AP$31-J412)))</f>
        <v>0</v>
      </c>
      <c r="L411" s="62" t="n">
        <f aca="false">IF(L$5="A",0,MAX(0,MIN(K407,Engagement_Register!$AP$31-K412)))</f>
        <v>0</v>
      </c>
      <c r="M411" s="62" t="n">
        <f aca="false">IF(M$5="A",0,MAX(0,MIN(L407,Engagement_Register!$AP$31-L412)))</f>
        <v>0</v>
      </c>
      <c r="N411" s="62" t="n">
        <f aca="false">IF(N$5="A",0,MAX(0,MIN(M407,Engagement_Register!$AP$31-M412)))</f>
        <v>0</v>
      </c>
      <c r="O411" s="62" t="n">
        <f aca="false">IF(O$5="A",0,MAX(0,MIN(N407,Engagement_Register!$AP$31-N412)))</f>
        <v>0</v>
      </c>
      <c r="P411" s="62" t="n">
        <f aca="false">IF(P$5="A",0,MAX(0,MIN(O407,Engagement_Register!$AP$31-O412)))</f>
        <v>0</v>
      </c>
      <c r="Q411" s="62" t="n">
        <f aca="false">IF(Q$5="A",0,MAX(0,MIN(P407,Engagement_Register!$AP$31-P412)))</f>
        <v>0</v>
      </c>
      <c r="R411" s="62" t="n">
        <f aca="false">IF(R$5="A",0,MAX(0,MIN(Q407,Engagement_Register!$AP$31-Q412)))</f>
        <v>36552.6359306359</v>
      </c>
      <c r="S411" s="62" t="n">
        <f aca="false">IF(S$5="A",0,MAX(0,MIN(R407,Engagement_Register!$AP$31-R412)))</f>
        <v>37694.9058034682</v>
      </c>
      <c r="T411" s="62" t="n">
        <f aca="false">IF(T$5="A",0,MAX(0,MIN(S407,Engagement_Register!$AP$31-S412)))</f>
        <v>40436.3534982659</v>
      </c>
      <c r="U411" s="62" t="n">
        <f aca="false">IF(U$5="A",0,MAX(0,MIN(T407,Engagement_Register!$AP$31-T412)))</f>
        <v>42263.9852947977</v>
      </c>
      <c r="V411" s="62" t="n">
        <f aca="false">IF(V$5="A",0,MAX(0,MIN(U407,Engagement_Register!$AP$31-U412)))</f>
        <v>32212.0104138728</v>
      </c>
      <c r="W411" s="62" t="n">
        <f aca="false">IF(W$5="A",0,MAX(0,MIN(V407,Engagement_Register!$AP$31-V412)))</f>
        <v>43634.7091421965</v>
      </c>
      <c r="X411" s="62" t="n">
        <f aca="false">IF(X$5="A",0,MAX(0,MIN(W407,Engagement_Register!$AP$31-W412)))</f>
        <v>42263.9852947977</v>
      </c>
      <c r="Y411" s="62" t="n">
        <f aca="false">IF(Y$5="A",0,MAX(0,MIN(X407,Engagement_Register!$AP$31-X412)))</f>
        <v>37009.5438797688</v>
      </c>
      <c r="Z411" s="62" t="n">
        <f aca="false">IF(Z$5="A",0,MAX(0,MIN(Y407,Engagement_Register!$AP$31-Y412)))</f>
        <v>7931.87074219645</v>
      </c>
      <c r="AA411" s="62" t="n">
        <f aca="false">IF(AA$5="A",0,MAX(0,MIN(Z407,Engagement_Register!$AP$31-Z412)))</f>
        <v>0</v>
      </c>
      <c r="AB411" s="62" t="n">
        <f aca="false">IF(AB$5="A",0,MAX(0,MIN(AA407,Engagement_Register!$AP$31-AA412)))</f>
        <v>0</v>
      </c>
    </row>
    <row r="412" customFormat="false" ht="15" hidden="false" customHeight="false" outlineLevel="0" collapsed="false">
      <c r="A412" s="29" t="s">
        <v>840</v>
      </c>
      <c r="B412" s="60"/>
      <c r="C412" s="61" t="n">
        <f aca="false">P412</f>
        <v>0</v>
      </c>
      <c r="D412" s="61" t="n">
        <f aca="false">AB412</f>
        <v>320000</v>
      </c>
      <c r="E412" s="62" t="n">
        <f aca="false">Engagement_Register!$V$31+E411</f>
        <v>0</v>
      </c>
      <c r="F412" s="71" t="n">
        <f aca="false">E412+F411</f>
        <v>0</v>
      </c>
      <c r="G412" s="71" t="n">
        <f aca="false">F412+G411</f>
        <v>0</v>
      </c>
      <c r="H412" s="71" t="n">
        <f aca="false">G412+H411</f>
        <v>0</v>
      </c>
      <c r="I412" s="71" t="n">
        <f aca="false">H412+I411</f>
        <v>0</v>
      </c>
      <c r="J412" s="71" t="n">
        <f aca="false">I412+J411</f>
        <v>0</v>
      </c>
      <c r="K412" s="71" t="n">
        <f aca="false">J412+K411</f>
        <v>0</v>
      </c>
      <c r="L412" s="71" t="n">
        <f aca="false">K412+L411</f>
        <v>0</v>
      </c>
      <c r="M412" s="71" t="n">
        <f aca="false">L412+M411</f>
        <v>0</v>
      </c>
      <c r="N412" s="71" t="n">
        <f aca="false">M412+N411</f>
        <v>0</v>
      </c>
      <c r="O412" s="71" t="n">
        <f aca="false">N412+O411</f>
        <v>0</v>
      </c>
      <c r="P412" s="71" t="n">
        <f aca="false">O412+P411</f>
        <v>0</v>
      </c>
      <c r="Q412" s="71" t="n">
        <f aca="false">P412+Q411</f>
        <v>0</v>
      </c>
      <c r="R412" s="71" t="n">
        <f aca="false">Q412+R411</f>
        <v>36552.6359306359</v>
      </c>
      <c r="S412" s="71" t="n">
        <f aca="false">R412+S411</f>
        <v>74247.5417341041</v>
      </c>
      <c r="T412" s="71" t="n">
        <f aca="false">S412+T411</f>
        <v>114683.89523237</v>
      </c>
      <c r="U412" s="71" t="n">
        <f aca="false">T412+U411</f>
        <v>156947.880527168</v>
      </c>
      <c r="V412" s="71" t="n">
        <f aca="false">U412+V411</f>
        <v>189159.890941041</v>
      </c>
      <c r="W412" s="71" t="n">
        <f aca="false">V412+W411</f>
        <v>232794.600083237</v>
      </c>
      <c r="X412" s="71" t="n">
        <f aca="false">W412+X411</f>
        <v>275058.585378035</v>
      </c>
      <c r="Y412" s="71" t="n">
        <f aca="false">X412+Y411</f>
        <v>312068.129257804</v>
      </c>
      <c r="Z412" s="71" t="n">
        <f aca="false">Y412+Z411</f>
        <v>320000</v>
      </c>
      <c r="AA412" s="71" t="n">
        <f aca="false">Z412+AA411</f>
        <v>320000</v>
      </c>
      <c r="AB412" s="71" t="n">
        <f aca="false">AA412+AB411</f>
        <v>320000</v>
      </c>
    </row>
    <row r="413" customFormat="false" ht="15" hidden="false" customHeight="false" outlineLevel="0" collapsed="false">
      <c r="A413" s="29" t="s">
        <v>841</v>
      </c>
      <c r="B413" s="60" t="s">
        <v>842</v>
      </c>
      <c r="C413" s="61" t="n">
        <f aca="false">SUM(E413:P413)</f>
        <v>0</v>
      </c>
      <c r="D413" s="61" t="n">
        <f aca="false">SUM(Q413:AB413)</f>
        <v>31147.2</v>
      </c>
      <c r="E413" s="62" t="n">
        <f aca="false">IF(E$5="A",0,E33*Engagement_Register!$N$31*Assumptions!E$195)</f>
        <v>0</v>
      </c>
      <c r="F413" s="62" t="n">
        <f aca="false">IF(F$5="A",0,F33*Engagement_Register!$N$31*Assumptions!F$195)</f>
        <v>0</v>
      </c>
      <c r="G413" s="62" t="n">
        <f aca="false">IF(G$5="A",0,G33*Engagement_Register!$N$31*Assumptions!G$195)</f>
        <v>0</v>
      </c>
      <c r="H413" s="62" t="n">
        <f aca="false">IF(H$5="A",0,H33*Engagement_Register!$N$31*Assumptions!H$195)</f>
        <v>0</v>
      </c>
      <c r="I413" s="62" t="n">
        <f aca="false">IF(I$5="A",0,I33*Engagement_Register!$N$31*Assumptions!I$195)</f>
        <v>0</v>
      </c>
      <c r="J413" s="62" t="n">
        <f aca="false">IF(J$5="A",0,J33*Engagement_Register!$N$31*Assumptions!J$195)</f>
        <v>0</v>
      </c>
      <c r="K413" s="62" t="n">
        <f aca="false">IF(K$5="A",0,K33*Engagement_Register!$N$31*Assumptions!K$195)</f>
        <v>0</v>
      </c>
      <c r="L413" s="62" t="n">
        <f aca="false">IF(L$5="A",0,L33*Engagement_Register!$N$31*Assumptions!L$195)</f>
        <v>0</v>
      </c>
      <c r="M413" s="62" t="n">
        <f aca="false">IF(M$5="A",0,M33*Engagement_Register!$N$31*Assumptions!M$195)</f>
        <v>0</v>
      </c>
      <c r="N413" s="62" t="n">
        <f aca="false">IF(N$5="A",0,N33*Engagement_Register!$N$31*Assumptions!N$195)</f>
        <v>0</v>
      </c>
      <c r="O413" s="62" t="n">
        <f aca="false">IF(O$5="A",0,O33*Engagement_Register!$N$31*Assumptions!O$195)</f>
        <v>0</v>
      </c>
      <c r="P413" s="62" t="n">
        <f aca="false">IF(P$5="A",0,P33*Engagement_Register!$N$31*Assumptions!P$195)</f>
        <v>0</v>
      </c>
      <c r="Q413" s="62" t="n">
        <f aca="false">IF(Q$5="A",0,Q33*Engagement_Register!$N$31*Assumptions!Q$195)</f>
        <v>3200.73988439306</v>
      </c>
      <c r="R413" s="62" t="n">
        <f aca="false">IF(R$5="A",0,R33*Engagement_Register!$N$31*Assumptions!R$195)</f>
        <v>3300.76300578035</v>
      </c>
      <c r="S413" s="62" t="n">
        <f aca="false">IF(S$5="A",0,S33*Engagement_Register!$N$31*Assumptions!S$195)</f>
        <v>3540.81849710983</v>
      </c>
      <c r="T413" s="62" t="n">
        <f aca="false">IF(T$5="A",0,T33*Engagement_Register!$N$31*Assumptions!T$195)</f>
        <v>3700.85549132948</v>
      </c>
      <c r="U413" s="62" t="n">
        <f aca="false">IF(U$5="A",0,U33*Engagement_Register!$N$31*Assumptions!U$195)</f>
        <v>2820.65202312139</v>
      </c>
      <c r="V413" s="62" t="n">
        <f aca="false">IF(V$5="A",0,V33*Engagement_Register!$N$31*Assumptions!V$195)</f>
        <v>3820.88323699422</v>
      </c>
      <c r="W413" s="62" t="n">
        <f aca="false">IF(W$5="A",0,W33*Engagement_Register!$N$31*Assumptions!W$195)</f>
        <v>3700.85549132948</v>
      </c>
      <c r="X413" s="62" t="n">
        <f aca="false">IF(X$5="A",0,X33*Engagement_Register!$N$31*Assumptions!X$195)</f>
        <v>3240.74913294798</v>
      </c>
      <c r="Y413" s="62" t="n">
        <f aca="false">IF(Y$5="A",0,Y33*Engagement_Register!$N$31*Assumptions!Y$195)</f>
        <v>3820.88323699422</v>
      </c>
      <c r="Z413" s="62" t="n">
        <f aca="false">IF(Z$5="A",0,Z33*Engagement_Register!$N$31*Assumptions!Z$195)</f>
        <v>0</v>
      </c>
      <c r="AA413" s="62" t="n">
        <f aca="false">IF(AA$5="A",0,AA33*Engagement_Register!$N$31*Assumptions!AA$195)</f>
        <v>0</v>
      </c>
      <c r="AB413" s="62" t="n">
        <f aca="false">IF(AB$5="A",0,AB33*Engagement_Register!$N$31*Assumptions!AB$195)</f>
        <v>0</v>
      </c>
    </row>
    <row r="414" customFormat="false" ht="15" hidden="false" customHeight="false" outlineLevel="0" collapsed="false">
      <c r="A414" s="29" t="s">
        <v>843</v>
      </c>
      <c r="B414" s="60" t="s">
        <v>844</v>
      </c>
      <c r="C414" s="61" t="n">
        <f aca="false">SUM(E414:P414)</f>
        <v>0</v>
      </c>
      <c r="D414" s="61" t="n">
        <f aca="false">SUM(Q414:AB414)</f>
        <v>31147.2</v>
      </c>
      <c r="E414" s="71" t="n">
        <f aca="false">E413</f>
        <v>0</v>
      </c>
      <c r="F414" s="71" t="n">
        <f aca="false">F413</f>
        <v>0</v>
      </c>
      <c r="G414" s="71" t="n">
        <f aca="false">G413</f>
        <v>0</v>
      </c>
      <c r="H414" s="71" t="n">
        <f aca="false">H413</f>
        <v>0</v>
      </c>
      <c r="I414" s="71" t="n">
        <f aca="false">I413</f>
        <v>0</v>
      </c>
      <c r="J414" s="71" t="n">
        <f aca="false">J413</f>
        <v>0</v>
      </c>
      <c r="K414" s="71" t="n">
        <f aca="false">K413</f>
        <v>0</v>
      </c>
      <c r="L414" s="71" t="n">
        <f aca="false">L413</f>
        <v>0</v>
      </c>
      <c r="M414" s="71" t="n">
        <f aca="false">M413</f>
        <v>0</v>
      </c>
      <c r="N414" s="71" t="n">
        <f aca="false">N413</f>
        <v>0</v>
      </c>
      <c r="O414" s="71" t="n">
        <f aca="false">O413</f>
        <v>0</v>
      </c>
      <c r="P414" s="71" t="n">
        <f aca="false">P413</f>
        <v>0</v>
      </c>
      <c r="Q414" s="71" t="n">
        <f aca="false">Q413</f>
        <v>3200.73988439306</v>
      </c>
      <c r="R414" s="71" t="n">
        <f aca="false">R413</f>
        <v>3300.76300578035</v>
      </c>
      <c r="S414" s="71" t="n">
        <f aca="false">S413</f>
        <v>3540.81849710983</v>
      </c>
      <c r="T414" s="71" t="n">
        <f aca="false">T413</f>
        <v>3700.85549132948</v>
      </c>
      <c r="U414" s="71" t="n">
        <f aca="false">U413</f>
        <v>2820.65202312139</v>
      </c>
      <c r="V414" s="71" t="n">
        <f aca="false">V413</f>
        <v>3820.88323699422</v>
      </c>
      <c r="W414" s="71" t="n">
        <f aca="false">W413</f>
        <v>3700.85549132948</v>
      </c>
      <c r="X414" s="71" t="n">
        <f aca="false">X413</f>
        <v>3240.74913294798</v>
      </c>
      <c r="Y414" s="71" t="n">
        <f aca="false">Y413</f>
        <v>3820.88323699422</v>
      </c>
      <c r="Z414" s="71" t="n">
        <f aca="false">Z413</f>
        <v>0</v>
      </c>
      <c r="AA414" s="71" t="n">
        <f aca="false">AA413</f>
        <v>0</v>
      </c>
      <c r="AB414" s="71" t="n">
        <f aca="false">AB413</f>
        <v>0</v>
      </c>
    </row>
    <row r="415" customFormat="false" ht="15" hidden="false" customHeight="false" outlineLevel="0" collapsed="false">
      <c r="A415" s="29" t="s">
        <v>845</v>
      </c>
      <c r="B415" s="60" t="s">
        <v>846</v>
      </c>
      <c r="C415" s="61" t="n">
        <f aca="false">SUM(E415:P415)</f>
        <v>0</v>
      </c>
      <c r="D415" s="61" t="n">
        <f aca="false">SUM(Q415:AB415)</f>
        <v>31147.2</v>
      </c>
      <c r="E415" s="71" t="n">
        <f aca="false">IF(E$5="A",0,0)</f>
        <v>0</v>
      </c>
      <c r="F415" s="71" t="n">
        <f aca="false">IF(F$5="A",0,E414)</f>
        <v>0</v>
      </c>
      <c r="G415" s="71" t="n">
        <f aca="false">IF(G$5="A",0,F414)</f>
        <v>0</v>
      </c>
      <c r="H415" s="71" t="n">
        <f aca="false">IF(H$5="A",0,G414)</f>
        <v>0</v>
      </c>
      <c r="I415" s="71" t="n">
        <f aca="false">IF(I$5="A",0,H414)</f>
        <v>0</v>
      </c>
      <c r="J415" s="71" t="n">
        <f aca="false">IF(J$5="A",0,I414)</f>
        <v>0</v>
      </c>
      <c r="K415" s="71" t="n">
        <f aca="false">IF(K$5="A",0,J414)</f>
        <v>0</v>
      </c>
      <c r="L415" s="71" t="n">
        <f aca="false">IF(L$5="A",0,K414)</f>
        <v>0</v>
      </c>
      <c r="M415" s="71" t="n">
        <f aca="false">IF(M$5="A",0,L414)</f>
        <v>0</v>
      </c>
      <c r="N415" s="71" t="n">
        <f aca="false">IF(N$5="A",0,M414)</f>
        <v>0</v>
      </c>
      <c r="O415" s="71" t="n">
        <f aca="false">IF(O$5="A",0,N414)</f>
        <v>0</v>
      </c>
      <c r="P415" s="71" t="n">
        <f aca="false">IF(P$5="A",0,O414)</f>
        <v>0</v>
      </c>
      <c r="Q415" s="71" t="n">
        <f aca="false">IF(Q$5="A",0,P414)</f>
        <v>0</v>
      </c>
      <c r="R415" s="71" t="n">
        <f aca="false">IF(R$5="A",0,Q414)</f>
        <v>3200.73988439306</v>
      </c>
      <c r="S415" s="71" t="n">
        <f aca="false">IF(S$5="A",0,R414)</f>
        <v>3300.76300578035</v>
      </c>
      <c r="T415" s="71" t="n">
        <f aca="false">IF(T$5="A",0,S414)</f>
        <v>3540.81849710983</v>
      </c>
      <c r="U415" s="71" t="n">
        <f aca="false">IF(U$5="A",0,T414)</f>
        <v>3700.85549132948</v>
      </c>
      <c r="V415" s="71" t="n">
        <f aca="false">IF(V$5="A",0,U414)</f>
        <v>2820.65202312139</v>
      </c>
      <c r="W415" s="71" t="n">
        <f aca="false">IF(W$5="A",0,V414)</f>
        <v>3820.88323699422</v>
      </c>
      <c r="X415" s="71" t="n">
        <f aca="false">IF(X$5="A",0,W414)</f>
        <v>3700.85549132948</v>
      </c>
      <c r="Y415" s="71" t="n">
        <f aca="false">IF(Y$5="A",0,X414)</f>
        <v>3240.74913294798</v>
      </c>
      <c r="Z415" s="71" t="n">
        <f aca="false">IF(Z$5="A",0,Y414)</f>
        <v>3820.88323699422</v>
      </c>
      <c r="AA415" s="71" t="n">
        <f aca="false">IF(AA$5="A",0,Z414)</f>
        <v>0</v>
      </c>
      <c r="AB415" s="71" t="n">
        <f aca="false">IF(AB$5="A",0,AA414)</f>
        <v>0</v>
      </c>
    </row>
    <row r="416" customFormat="false" ht="15" hidden="false" customHeight="false" outlineLevel="0" collapsed="false">
      <c r="A416" s="29" t="s">
        <v>847</v>
      </c>
      <c r="B416" s="60" t="s">
        <v>848</v>
      </c>
      <c r="C416" s="61" t="n">
        <f aca="false">P416</f>
        <v>0</v>
      </c>
      <c r="D416" s="61" t="n">
        <f aca="false">AB416</f>
        <v>0</v>
      </c>
      <c r="E416" s="62" t="n">
        <f aca="false">Engagement_Register!$X$31+E410+E414-E415-E411</f>
        <v>0</v>
      </c>
      <c r="F416" s="71" t="n">
        <f aca="false">E416+F410+F414-F415-F411</f>
        <v>0</v>
      </c>
      <c r="G416" s="71" t="n">
        <f aca="false">F416+G410+G414-G415-G411</f>
        <v>0</v>
      </c>
      <c r="H416" s="71" t="n">
        <f aca="false">G416+H410+H414-H415-H411</f>
        <v>0</v>
      </c>
      <c r="I416" s="71" t="n">
        <f aca="false">H416+I410+I414-I415-I411</f>
        <v>0</v>
      </c>
      <c r="J416" s="71" t="n">
        <f aca="false">I416+J410+J414-J415-J411</f>
        <v>0</v>
      </c>
      <c r="K416" s="71" t="n">
        <f aca="false">J416+K410+K414-K415-K411</f>
        <v>0</v>
      </c>
      <c r="L416" s="71" t="n">
        <f aca="false">K416+L410+L414-L415-L411</f>
        <v>0</v>
      </c>
      <c r="M416" s="71" t="n">
        <f aca="false">L416+M410+M414-M415-M411</f>
        <v>0</v>
      </c>
      <c r="N416" s="71" t="n">
        <f aca="false">M416+N410+N414-N415-N411</f>
        <v>0</v>
      </c>
      <c r="O416" s="71" t="n">
        <f aca="false">N416+O410+O414-O415-O411</f>
        <v>0</v>
      </c>
      <c r="P416" s="71" t="n">
        <f aca="false">O416+P410+P414-P415-P411</f>
        <v>0</v>
      </c>
      <c r="Q416" s="71" t="n">
        <f aca="false">P416+Q410+Q414-Q415-Q411</f>
        <v>36084.490687219</v>
      </c>
      <c r="R416" s="71" t="n">
        <f aca="false">Q416+R410+R414-R415-R411</f>
        <v>33543.2458933847</v>
      </c>
      <c r="S416" s="71" t="n">
        <f aca="false">R416+S410+S414-S415-S411</f>
        <v>32466.0449068722</v>
      </c>
      <c r="T416" s="71" t="n">
        <f aca="false">S416+T410+T414-T415-T411</f>
        <v>30211.5652685934</v>
      </c>
      <c r="U416" s="71" t="n">
        <f aca="false">T416+U410+U414-U415-U411</f>
        <v>16046.181900578</v>
      </c>
      <c r="V416" s="71" t="n">
        <f aca="false">U416+V410+V414-V415-V411</f>
        <v>24089.3802214515</v>
      </c>
      <c r="W416" s="71" t="n">
        <f aca="false">V416+W410+W414-W415-W411</f>
        <v>18356.4801993577</v>
      </c>
      <c r="X416" s="71" t="n">
        <f aca="false">W416+X410+X414-X415-X411</f>
        <v>8927.18623403974</v>
      </c>
      <c r="Y416" s="71" t="n">
        <f aca="false">X416+Y410+Y414-Y415-Y411</f>
        <v>11752.7539791907</v>
      </c>
      <c r="Z416" s="71" t="n">
        <f aca="false">Y416+Z410+Z414-Z415-Z411</f>
        <v>0</v>
      </c>
      <c r="AA416" s="71" t="n">
        <f aca="false">Z416+AA410+AA414-AA415-AA411</f>
        <v>0</v>
      </c>
      <c r="AB416" s="71" t="n">
        <f aca="false">AA416+AB410+AB414-AB415-AB411</f>
        <v>0</v>
      </c>
    </row>
    <row r="417" customFormat="false" ht="15" hidden="false" customHeight="false" outlineLevel="0" collapsed="false">
      <c r="A417" s="29" t="s">
        <v>890</v>
      </c>
      <c r="B417" s="60" t="s">
        <v>850</v>
      </c>
      <c r="C417" s="61" t="n">
        <f aca="false">P417</f>
        <v>320000</v>
      </c>
      <c r="D417" s="61" t="n">
        <f aca="false">AB417</f>
        <v>0</v>
      </c>
      <c r="E417" s="62" t="n">
        <f aca="false">MAX(0,Engagement_Register!$AP$31-E409)</f>
        <v>320000</v>
      </c>
      <c r="F417" s="62" t="n">
        <f aca="false">MAX(0,Engagement_Register!$AP$31-F409)</f>
        <v>320000</v>
      </c>
      <c r="G417" s="62" t="n">
        <f aca="false">MAX(0,Engagement_Register!$AP$31-G409)</f>
        <v>320000</v>
      </c>
      <c r="H417" s="62" t="n">
        <f aca="false">MAX(0,Engagement_Register!$AP$31-H409)</f>
        <v>320000</v>
      </c>
      <c r="I417" s="62" t="n">
        <f aca="false">MAX(0,Engagement_Register!$AP$31-I409)</f>
        <v>320000</v>
      </c>
      <c r="J417" s="62" t="n">
        <f aca="false">MAX(0,Engagement_Register!$AP$31-J409)</f>
        <v>320000</v>
      </c>
      <c r="K417" s="62" t="n">
        <f aca="false">MAX(0,Engagement_Register!$AP$31-K409)</f>
        <v>320000</v>
      </c>
      <c r="L417" s="62" t="n">
        <f aca="false">MAX(0,Engagement_Register!$AP$31-L409)</f>
        <v>320000</v>
      </c>
      <c r="M417" s="62" t="n">
        <f aca="false">MAX(0,Engagement_Register!$AP$31-M409)</f>
        <v>320000</v>
      </c>
      <c r="N417" s="62" t="n">
        <f aca="false">MAX(0,Engagement_Register!$AP$31-N409)</f>
        <v>320000</v>
      </c>
      <c r="O417" s="62" t="n">
        <f aca="false">MAX(0,Engagement_Register!$AP$31-O409)</f>
        <v>320000</v>
      </c>
      <c r="P417" s="62" t="n">
        <f aca="false">MAX(0,Engagement_Register!$AP$31-P409)</f>
        <v>320000</v>
      </c>
      <c r="Q417" s="62" t="n">
        <f aca="false">MAX(0,Engagement_Register!$AP$31-Q409)</f>
        <v>287116.249197174</v>
      </c>
      <c r="R417" s="62" t="n">
        <f aca="false">MAX(0,Engagement_Register!$AP$31-R409)</f>
        <v>253204.88118176</v>
      </c>
      <c r="S417" s="62" t="n">
        <f aca="false">MAX(0,Engagement_Register!$AP$31-S409)</f>
        <v>216827.231856134</v>
      </c>
      <c r="T417" s="62" t="n">
        <f aca="false">MAX(0,Engagement_Register!$AP$31-T409)</f>
        <v>178805.394990366</v>
      </c>
      <c r="U417" s="62" t="n">
        <f aca="false">MAX(0,Engagement_Register!$AP$31-U409)</f>
        <v>149826.589595376</v>
      </c>
      <c r="V417" s="62" t="n">
        <f aca="false">MAX(0,Engagement_Register!$AP$31-V409)</f>
        <v>110571.612074502</v>
      </c>
      <c r="W417" s="62" t="n">
        <f aca="false">MAX(0,Engagement_Register!$AP$31-W409)</f>
        <v>72549.7752087347</v>
      </c>
      <c r="X417" s="62" t="n">
        <f aca="false">MAX(0,Engagement_Register!$AP$31-X409)</f>
        <v>39254.9775208735</v>
      </c>
      <c r="Y417" s="62" t="n">
        <f aca="false">MAX(0,Engagement_Register!$AP$31-Y409)</f>
        <v>0</v>
      </c>
      <c r="Z417" s="62" t="n">
        <f aca="false">MAX(0,Engagement_Register!$AP$31-Z409)</f>
        <v>0</v>
      </c>
      <c r="AA417" s="62" t="n">
        <f aca="false">MAX(0,Engagement_Register!$AP$31-AA409)</f>
        <v>0</v>
      </c>
      <c r="AB417" s="62" t="n">
        <f aca="false">MAX(0,Engagement_Register!$AP$31-AB409)</f>
        <v>0</v>
      </c>
    </row>
    <row r="419" customFormat="false" ht="15" hidden="false" customHeight="false" outlineLevel="0" collapsed="false">
      <c r="A419" s="23" t="s">
        <v>892</v>
      </c>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row>
    <row r="420" customFormat="false" ht="15" hidden="false" customHeight="false" outlineLevel="0" collapsed="false">
      <c r="A420" s="29" t="s">
        <v>736</v>
      </c>
      <c r="B420" s="60" t="s">
        <v>832</v>
      </c>
      <c r="C420" s="66" t="n">
        <f aca="false">P420</f>
        <v>148.758635703919</v>
      </c>
      <c r="D420" s="66" t="n">
        <f aca="false">AB420</f>
        <v>548.1</v>
      </c>
      <c r="E420" s="67" t="n">
        <f aca="false">Engagement_Register!$T$32+E34</f>
        <v>0</v>
      </c>
      <c r="F420" s="72" t="n">
        <f aca="false">E420+F34</f>
        <v>0</v>
      </c>
      <c r="G420" s="72" t="n">
        <f aca="false">F420+G34</f>
        <v>0</v>
      </c>
      <c r="H420" s="72" t="n">
        <f aca="false">G420+H34</f>
        <v>0</v>
      </c>
      <c r="I420" s="72" t="n">
        <f aca="false">H420+I34</f>
        <v>0</v>
      </c>
      <c r="J420" s="72" t="n">
        <f aca="false">I420+J34</f>
        <v>0</v>
      </c>
      <c r="K420" s="72" t="n">
        <f aca="false">J420+K34</f>
        <v>0</v>
      </c>
      <c r="L420" s="72" t="n">
        <f aca="false">K420+L34</f>
        <v>0</v>
      </c>
      <c r="M420" s="72" t="n">
        <f aca="false">L420+M34</f>
        <v>0</v>
      </c>
      <c r="N420" s="72" t="n">
        <f aca="false">M420+N34</f>
        <v>0</v>
      </c>
      <c r="O420" s="72" t="n">
        <f aca="false">N420+O34</f>
        <v>0</v>
      </c>
      <c r="P420" s="72" t="n">
        <f aca="false">O420+P34</f>
        <v>148.758635703919</v>
      </c>
      <c r="Q420" s="72" t="n">
        <f aca="false">P420+Q34</f>
        <v>276.038751814224</v>
      </c>
      <c r="R420" s="72" t="n">
        <f aca="false">Q420+R34</f>
        <v>407.296371552975</v>
      </c>
      <c r="S420" s="72" t="n">
        <f aca="false">R420+S34</f>
        <v>548.1</v>
      </c>
      <c r="T420" s="72" t="n">
        <f aca="false">S420+T34</f>
        <v>548.1</v>
      </c>
      <c r="U420" s="72" t="n">
        <f aca="false">T420+U34</f>
        <v>548.1</v>
      </c>
      <c r="V420" s="72" t="n">
        <f aca="false">U420+V34</f>
        <v>548.1</v>
      </c>
      <c r="W420" s="72" t="n">
        <f aca="false">V420+W34</f>
        <v>548.1</v>
      </c>
      <c r="X420" s="72" t="n">
        <f aca="false">W420+X34</f>
        <v>548.1</v>
      </c>
      <c r="Y420" s="72" t="n">
        <f aca="false">X420+Y34</f>
        <v>548.1</v>
      </c>
      <c r="Z420" s="72" t="n">
        <f aca="false">Y420+Z34</f>
        <v>548.1</v>
      </c>
      <c r="AA420" s="72" t="n">
        <f aca="false">Z420+AA34</f>
        <v>548.1</v>
      </c>
      <c r="AB420" s="72" t="n">
        <f aca="false">AA420+AB34</f>
        <v>548.1</v>
      </c>
    </row>
    <row r="421" customFormat="false" ht="15" hidden="false" customHeight="false" outlineLevel="0" collapsed="false">
      <c r="A421" s="29" t="s">
        <v>852</v>
      </c>
      <c r="B421" s="60" t="s">
        <v>853</v>
      </c>
      <c r="C421" s="66" t="n">
        <f aca="false">P421</f>
        <v>548.1</v>
      </c>
      <c r="D421" s="66" t="n">
        <f aca="false">AB421</f>
        <v>548.1</v>
      </c>
      <c r="E421" s="67" t="n">
        <f aca="false">IF(E$5="A",Engagement_Register!$AM$32,Engagement_Register!$AM$32)</f>
        <v>548.1</v>
      </c>
      <c r="F421" s="67" t="n">
        <f aca="false">IF(F$5="A",Engagement_Register!$AM$32,Engagement_Register!$AM$32)</f>
        <v>548.1</v>
      </c>
      <c r="G421" s="67" t="n">
        <f aca="false">IF(G$5="A",Engagement_Register!$AM$32,Engagement_Register!$AM$32)</f>
        <v>548.1</v>
      </c>
      <c r="H421" s="67" t="n">
        <f aca="false">IF(H$5="A",Engagement_Register!$AM$32,Engagement_Register!$AM$32)</f>
        <v>548.1</v>
      </c>
      <c r="I421" s="67" t="n">
        <f aca="false">IF(I$5="A",Engagement_Register!$AM$32,Engagement_Register!$AM$32)</f>
        <v>548.1</v>
      </c>
      <c r="J421" s="67" t="n">
        <f aca="false">IF(J$5="A",Engagement_Register!$AM$32,Engagement_Register!$AM$32)</f>
        <v>548.1</v>
      </c>
      <c r="K421" s="67" t="n">
        <f aca="false">IF(K$5="A",Engagement_Register!$AM$32,Engagement_Register!$AM$32)</f>
        <v>548.1</v>
      </c>
      <c r="L421" s="67" t="n">
        <f aca="false">IF(L$5="A",Engagement_Register!$AM$32,Engagement_Register!$AM$32)</f>
        <v>548.1</v>
      </c>
      <c r="M421" s="67" t="n">
        <f aca="false">IF(M$5="A",Engagement_Register!$AM$32,Engagement_Register!$AM$32)</f>
        <v>548.1</v>
      </c>
      <c r="N421" s="67" t="n">
        <f aca="false">IF(N$5="A",Engagement_Register!$AM$32,Engagement_Register!$AM$32)</f>
        <v>548.1</v>
      </c>
      <c r="O421" s="67" t="n">
        <f aca="false">IF(O$5="A",Engagement_Register!$AM$32,Engagement_Register!$AM$32)</f>
        <v>548.1</v>
      </c>
      <c r="P421" s="67" t="n">
        <f aca="false">IF(P$5="A",Engagement_Register!$AM$32,Engagement_Register!$AM$32)</f>
        <v>548.1</v>
      </c>
      <c r="Q421" s="67" t="n">
        <f aca="false">IF(Q$5="A",Engagement_Register!$AM$32,Engagement_Register!$AM$32)</f>
        <v>548.1</v>
      </c>
      <c r="R421" s="67" t="n">
        <f aca="false">IF(R$5="A",Engagement_Register!$AM$32,Engagement_Register!$AM$32)</f>
        <v>548.1</v>
      </c>
      <c r="S421" s="67" t="n">
        <f aca="false">IF(S$5="A",Engagement_Register!$AM$32,Engagement_Register!$AM$32)</f>
        <v>548.1</v>
      </c>
      <c r="T421" s="67" t="n">
        <f aca="false">IF(T$5="A",Engagement_Register!$AM$32,Engagement_Register!$AM$32)</f>
        <v>548.1</v>
      </c>
      <c r="U421" s="67" t="n">
        <f aca="false">IF(U$5="A",Engagement_Register!$AM$32,Engagement_Register!$AM$32)</f>
        <v>548.1</v>
      </c>
      <c r="V421" s="67" t="n">
        <f aca="false">IF(V$5="A",Engagement_Register!$AM$32,Engagement_Register!$AM$32)</f>
        <v>548.1</v>
      </c>
      <c r="W421" s="67" t="n">
        <f aca="false">IF(W$5="A",Engagement_Register!$AM$32,Engagement_Register!$AM$32)</f>
        <v>548.1</v>
      </c>
      <c r="X421" s="67" t="n">
        <f aca="false">IF(X$5="A",Engagement_Register!$AM$32,Engagement_Register!$AM$32)</f>
        <v>548.1</v>
      </c>
      <c r="Y421" s="67" t="n">
        <f aca="false">IF(Y$5="A",Engagement_Register!$AM$32,Engagement_Register!$AM$32)</f>
        <v>548.1</v>
      </c>
      <c r="Z421" s="67" t="n">
        <f aca="false">IF(Z$5="A",Engagement_Register!$AM$32,Engagement_Register!$AM$32)</f>
        <v>548.1</v>
      </c>
      <c r="AA421" s="67" t="n">
        <f aca="false">IF(AA$5="A",Engagement_Register!$AM$32,Engagement_Register!$AM$32)</f>
        <v>548.1</v>
      </c>
      <c r="AB421" s="67" t="n">
        <f aca="false">IF(AB$5="A",Engagement_Register!$AM$32,Engagement_Register!$AM$32)</f>
        <v>548.1</v>
      </c>
    </row>
    <row r="422" customFormat="false" ht="15" hidden="false" customHeight="false" outlineLevel="0" collapsed="false">
      <c r="A422" s="29" t="s">
        <v>854</v>
      </c>
      <c r="B422" s="60" t="s">
        <v>855</v>
      </c>
      <c r="C422" s="63" t="n">
        <f aca="false">P422</f>
        <v>0.271407837445573</v>
      </c>
      <c r="D422" s="63" t="n">
        <f aca="false">AB422</f>
        <v>1</v>
      </c>
      <c r="E422" s="64" t="n">
        <f aca="false">IF(E421&lt;=0,0,MIN(1,E420/E421))</f>
        <v>0</v>
      </c>
      <c r="F422" s="64" t="n">
        <f aca="false">IF(F421&lt;=0,0,MIN(1,F420/F421))</f>
        <v>0</v>
      </c>
      <c r="G422" s="64" t="n">
        <f aca="false">IF(G421&lt;=0,0,MIN(1,G420/G421))</f>
        <v>0</v>
      </c>
      <c r="H422" s="64" t="n">
        <f aca="false">IF(H421&lt;=0,0,MIN(1,H420/H421))</f>
        <v>0</v>
      </c>
      <c r="I422" s="64" t="n">
        <f aca="false">IF(I421&lt;=0,0,MIN(1,I420/I421))</f>
        <v>0</v>
      </c>
      <c r="J422" s="64" t="n">
        <f aca="false">IF(J421&lt;=0,0,MIN(1,J420/J421))</f>
        <v>0</v>
      </c>
      <c r="K422" s="64" t="n">
        <f aca="false">IF(K421&lt;=0,0,MIN(1,K420/K421))</f>
        <v>0</v>
      </c>
      <c r="L422" s="64" t="n">
        <f aca="false">IF(L421&lt;=0,0,MIN(1,L420/L421))</f>
        <v>0</v>
      </c>
      <c r="M422" s="64" t="n">
        <f aca="false">IF(M421&lt;=0,0,MIN(1,M420/M421))</f>
        <v>0</v>
      </c>
      <c r="N422" s="64" t="n">
        <f aca="false">IF(N421&lt;=0,0,MIN(1,N420/N421))</f>
        <v>0</v>
      </c>
      <c r="O422" s="64" t="n">
        <f aca="false">IF(O421&lt;=0,0,MIN(1,O420/O421))</f>
        <v>0</v>
      </c>
      <c r="P422" s="64" t="n">
        <f aca="false">IF(P421&lt;=0,0,MIN(1,P420/P421))</f>
        <v>0.271407837445573</v>
      </c>
      <c r="Q422" s="64" t="n">
        <f aca="false">IF(Q421&lt;=0,0,MIN(1,Q420/Q421))</f>
        <v>0.503628447024673</v>
      </c>
      <c r="R422" s="64" t="n">
        <f aca="false">IF(R421&lt;=0,0,MIN(1,R420/R421))</f>
        <v>0.74310595065312</v>
      </c>
      <c r="S422" s="64" t="n">
        <f aca="false">IF(S421&lt;=0,0,MIN(1,S420/S421))</f>
        <v>1</v>
      </c>
      <c r="T422" s="64" t="n">
        <f aca="false">IF(T421&lt;=0,0,MIN(1,T420/T421))</f>
        <v>1</v>
      </c>
      <c r="U422" s="64" t="n">
        <f aca="false">IF(U421&lt;=0,0,MIN(1,U420/U421))</f>
        <v>1</v>
      </c>
      <c r="V422" s="64" t="n">
        <f aca="false">IF(V421&lt;=0,0,MIN(1,V420/V421))</f>
        <v>1</v>
      </c>
      <c r="W422" s="64" t="n">
        <f aca="false">IF(W421&lt;=0,0,MIN(1,W420/W421))</f>
        <v>1</v>
      </c>
      <c r="X422" s="64" t="n">
        <f aca="false">IF(X421&lt;=0,0,MIN(1,X420/X421))</f>
        <v>1</v>
      </c>
      <c r="Y422" s="64" t="n">
        <f aca="false">IF(Y421&lt;=0,0,MIN(1,Y420/Y421))</f>
        <v>1</v>
      </c>
      <c r="Z422" s="64" t="n">
        <f aca="false">IF(Z421&lt;=0,0,MIN(1,Z420/Z421))</f>
        <v>1</v>
      </c>
      <c r="AA422" s="64" t="n">
        <f aca="false">IF(AA421&lt;=0,0,MIN(1,AA420/AA421))</f>
        <v>1</v>
      </c>
      <c r="AB422" s="64" t="n">
        <f aca="false">IF(AB421&lt;=0,0,MIN(1,AB420/AB421))</f>
        <v>1</v>
      </c>
    </row>
    <row r="423" customFormat="false" ht="15" hidden="false" customHeight="false" outlineLevel="0" collapsed="false">
      <c r="A423" s="29" t="s">
        <v>833</v>
      </c>
      <c r="B423" s="60" t="s">
        <v>834</v>
      </c>
      <c r="C423" s="61" t="n">
        <f aca="false">SUM(E423:P423)</f>
        <v>30733.5341364296</v>
      </c>
      <c r="D423" s="61" t="n">
        <f aca="false">SUM(Q423:AB423)</f>
        <v>85804.0828981132</v>
      </c>
      <c r="E423" s="62" t="n">
        <f aca="false">E34*Engagement_Register!$AD$32*Assumptions!E$194</f>
        <v>0</v>
      </c>
      <c r="F423" s="62" t="n">
        <f aca="false">F34*Engagement_Register!$AD$32*Assumptions!F$194</f>
        <v>0</v>
      </c>
      <c r="G423" s="62" t="n">
        <f aca="false">G34*Engagement_Register!$AD$32*Assumptions!G$194</f>
        <v>0</v>
      </c>
      <c r="H423" s="62" t="n">
        <f aca="false">H34*Engagement_Register!$AD$32*Assumptions!H$194</f>
        <v>0</v>
      </c>
      <c r="I423" s="62" t="n">
        <f aca="false">I34*Engagement_Register!$AD$32*Assumptions!I$194</f>
        <v>0</v>
      </c>
      <c r="J423" s="62" t="n">
        <f aca="false">J34*Engagement_Register!$AD$32*Assumptions!J$194</f>
        <v>0</v>
      </c>
      <c r="K423" s="62" t="n">
        <f aca="false">K34*Engagement_Register!$AD$32*Assumptions!K$194</f>
        <v>0</v>
      </c>
      <c r="L423" s="62" t="n">
        <f aca="false">L34*Engagement_Register!$AD$32*Assumptions!L$194</f>
        <v>0</v>
      </c>
      <c r="M423" s="62" t="n">
        <f aca="false">M34*Engagement_Register!$AD$32*Assumptions!M$194</f>
        <v>0</v>
      </c>
      <c r="N423" s="62" t="n">
        <f aca="false">N34*Engagement_Register!$AD$32*Assumptions!N$194</f>
        <v>0</v>
      </c>
      <c r="O423" s="62" t="n">
        <f aca="false">O34*Engagement_Register!$AD$32*Assumptions!O$194</f>
        <v>0</v>
      </c>
      <c r="P423" s="62" t="n">
        <f aca="false">P34*Engagement_Register!$AD$32*Assumptions!P$194</f>
        <v>30733.5341364296</v>
      </c>
      <c r="Q423" s="62" t="n">
        <f aca="false">Q34*Engagement_Register!$AD$32*Assumptions!Q$194</f>
        <v>27347.9148679245</v>
      </c>
      <c r="R423" s="62" t="n">
        <f aca="false">R34*Engagement_Register!$AD$32*Assumptions!R$194</f>
        <v>28202.5372075472</v>
      </c>
      <c r="S423" s="62" t="n">
        <f aca="false">S34*Engagement_Register!$AD$32*Assumptions!S$194</f>
        <v>30253.6308226415</v>
      </c>
      <c r="T423" s="62" t="n">
        <f aca="false">T34*Engagement_Register!$AD$32*Assumptions!T$194</f>
        <v>0</v>
      </c>
      <c r="U423" s="62" t="n">
        <f aca="false">U34*Engagement_Register!$AD$32*Assumptions!U$194</f>
        <v>0</v>
      </c>
      <c r="V423" s="62" t="n">
        <f aca="false">V34*Engagement_Register!$AD$32*Assumptions!V$194</f>
        <v>0</v>
      </c>
      <c r="W423" s="62" t="n">
        <f aca="false">W34*Engagement_Register!$AD$32*Assumptions!W$194</f>
        <v>0</v>
      </c>
      <c r="X423" s="62" t="n">
        <f aca="false">X34*Engagement_Register!$AD$32*Assumptions!X$194</f>
        <v>0</v>
      </c>
      <c r="Y423" s="62" t="n">
        <f aca="false">Y34*Engagement_Register!$AD$32*Assumptions!Y$194</f>
        <v>0</v>
      </c>
      <c r="Z423" s="62" t="n">
        <f aca="false">Z34*Engagement_Register!$AD$32*Assumptions!Z$194</f>
        <v>0</v>
      </c>
      <c r="AA423" s="62" t="n">
        <f aca="false">AA34*Engagement_Register!$AD$32*Assumptions!AA$194</f>
        <v>0</v>
      </c>
      <c r="AB423" s="62" t="n">
        <f aca="false">AB34*Engagement_Register!$AD$32*Assumptions!AB$194</f>
        <v>0</v>
      </c>
    </row>
    <row r="424" customFormat="false" ht="15" hidden="false" customHeight="false" outlineLevel="0" collapsed="false">
      <c r="A424" s="29" t="s">
        <v>835</v>
      </c>
      <c r="B424" s="60" t="s">
        <v>865</v>
      </c>
      <c r="C424" s="61" t="n">
        <f aca="false">SUM(E424:P424)</f>
        <v>29922.7140783745</v>
      </c>
      <c r="D424" s="61" t="n">
        <f aca="false">SUM(Q424:AB424)</f>
        <v>80327.2859216255</v>
      </c>
      <c r="E424" s="62" t="n">
        <f aca="false">E34*Engagement_Register!$AE$32</f>
        <v>0</v>
      </c>
      <c r="F424" s="62" t="n">
        <f aca="false">F34*Engagement_Register!$AE$32</f>
        <v>0</v>
      </c>
      <c r="G424" s="62" t="n">
        <f aca="false">G34*Engagement_Register!$AE$32</f>
        <v>0</v>
      </c>
      <c r="H424" s="62" t="n">
        <f aca="false">H34*Engagement_Register!$AE$32</f>
        <v>0</v>
      </c>
      <c r="I424" s="62" t="n">
        <f aca="false">I34*Engagement_Register!$AE$32</f>
        <v>0</v>
      </c>
      <c r="J424" s="62" t="n">
        <f aca="false">J34*Engagement_Register!$AE$32</f>
        <v>0</v>
      </c>
      <c r="K424" s="62" t="n">
        <f aca="false">K34*Engagement_Register!$AE$32</f>
        <v>0</v>
      </c>
      <c r="L424" s="62" t="n">
        <f aca="false">L34*Engagement_Register!$AE$32</f>
        <v>0</v>
      </c>
      <c r="M424" s="62" t="n">
        <f aca="false">M34*Engagement_Register!$AE$32</f>
        <v>0</v>
      </c>
      <c r="N424" s="62" t="n">
        <f aca="false">N34*Engagement_Register!$AE$32</f>
        <v>0</v>
      </c>
      <c r="O424" s="62" t="n">
        <f aca="false">O34*Engagement_Register!$AE$32</f>
        <v>0</v>
      </c>
      <c r="P424" s="62" t="n">
        <f aca="false">P34*Engagement_Register!$AE$32</f>
        <v>29922.7140783745</v>
      </c>
      <c r="Q424" s="62" t="n">
        <f aca="false">Q34*Engagement_Register!$AE$32</f>
        <v>25602.3222060958</v>
      </c>
      <c r="R424" s="62" t="n">
        <f aca="false">R34*Engagement_Register!$AE$32</f>
        <v>26402.3947750363</v>
      </c>
      <c r="S424" s="62" t="n">
        <f aca="false">S34*Engagement_Register!$AE$32</f>
        <v>28322.5689404935</v>
      </c>
      <c r="T424" s="62" t="n">
        <f aca="false">T34*Engagement_Register!$AE$32</f>
        <v>0</v>
      </c>
      <c r="U424" s="62" t="n">
        <f aca="false">U34*Engagement_Register!$AE$32</f>
        <v>0</v>
      </c>
      <c r="V424" s="62" t="n">
        <f aca="false">V34*Engagement_Register!$AE$32</f>
        <v>0</v>
      </c>
      <c r="W424" s="62" t="n">
        <f aca="false">W34*Engagement_Register!$AE$32</f>
        <v>0</v>
      </c>
      <c r="X424" s="62" t="n">
        <f aca="false">X34*Engagement_Register!$AE$32</f>
        <v>0</v>
      </c>
      <c r="Y424" s="62" t="n">
        <f aca="false">Y34*Engagement_Register!$AE$32</f>
        <v>0</v>
      </c>
      <c r="Z424" s="62" t="n">
        <f aca="false">Z34*Engagement_Register!$AE$32</f>
        <v>0</v>
      </c>
      <c r="AA424" s="62" t="n">
        <f aca="false">AA34*Engagement_Register!$AE$32</f>
        <v>0</v>
      </c>
      <c r="AB424" s="62" t="n">
        <f aca="false">AB34*Engagement_Register!$AE$32</f>
        <v>0</v>
      </c>
    </row>
    <row r="425" customFormat="false" ht="15" hidden="false" customHeight="false" outlineLevel="0" collapsed="false">
      <c r="A425" s="29" t="s">
        <v>742</v>
      </c>
      <c r="B425" s="60" t="s">
        <v>866</v>
      </c>
      <c r="C425" s="61" t="n">
        <f aca="false">P425</f>
        <v>28497.8229317852</v>
      </c>
      <c r="D425" s="61" t="n">
        <f aca="false">AB425</f>
        <v>105000</v>
      </c>
      <c r="E425" s="62" t="n">
        <f aca="false">IF(E$5="A",Engagement_Register!$U$32+0,Engagement_Register!$AP$32*E422)</f>
        <v>0</v>
      </c>
      <c r="F425" s="62" t="n">
        <f aca="false">IF(F$5="A",E425+0,Engagement_Register!$AP$32*F422)</f>
        <v>0</v>
      </c>
      <c r="G425" s="62" t="n">
        <f aca="false">IF(G$5="A",F425+0,Engagement_Register!$AP$32*G422)</f>
        <v>0</v>
      </c>
      <c r="H425" s="62" t="n">
        <f aca="false">IF(H$5="A",G425+0,Engagement_Register!$AP$32*H422)</f>
        <v>0</v>
      </c>
      <c r="I425" s="62" t="n">
        <f aca="false">IF(I$5="A",H425+0,Engagement_Register!$AP$32*I422)</f>
        <v>0</v>
      </c>
      <c r="J425" s="62" t="n">
        <f aca="false">IF(J$5="A",I425+0,Engagement_Register!$AP$32*J422)</f>
        <v>0</v>
      </c>
      <c r="K425" s="62" t="n">
        <f aca="false">IF(K$5="A",J425+0,Engagement_Register!$AP$32*K422)</f>
        <v>0</v>
      </c>
      <c r="L425" s="62" t="n">
        <f aca="false">IF(L$5="A",K425+0,Engagement_Register!$AP$32*L422)</f>
        <v>0</v>
      </c>
      <c r="M425" s="62" t="n">
        <f aca="false">IF(M$5="A",L425+0,Engagement_Register!$AP$32*M422)</f>
        <v>0</v>
      </c>
      <c r="N425" s="62" t="n">
        <f aca="false">IF(N$5="A",M425+0,Engagement_Register!$AP$32*N422)</f>
        <v>0</v>
      </c>
      <c r="O425" s="62" t="n">
        <f aca="false">IF(O$5="A",N425+0,Engagement_Register!$AP$32*O422)</f>
        <v>0</v>
      </c>
      <c r="P425" s="62" t="n">
        <f aca="false">IF(P$5="A",O425+0,Engagement_Register!$AP$32*P422)</f>
        <v>28497.8229317852</v>
      </c>
      <c r="Q425" s="62" t="n">
        <f aca="false">IF(Q$5="A",P425+0,Engagement_Register!$AP$32*Q422)</f>
        <v>52880.9869375907</v>
      </c>
      <c r="R425" s="62" t="n">
        <f aca="false">IF(R$5="A",Q425+0,Engagement_Register!$AP$32*R422)</f>
        <v>78026.1248185776</v>
      </c>
      <c r="S425" s="62" t="n">
        <f aca="false">IF(S$5="A",R425+0,Engagement_Register!$AP$32*S422)</f>
        <v>105000</v>
      </c>
      <c r="T425" s="62" t="n">
        <f aca="false">IF(T$5="A",S425+0,Engagement_Register!$AP$32*T422)</f>
        <v>105000</v>
      </c>
      <c r="U425" s="62" t="n">
        <f aca="false">IF(U$5="A",T425+0,Engagement_Register!$AP$32*U422)</f>
        <v>105000</v>
      </c>
      <c r="V425" s="62" t="n">
        <f aca="false">IF(V$5="A",U425+0,Engagement_Register!$AP$32*V422)</f>
        <v>105000</v>
      </c>
      <c r="W425" s="62" t="n">
        <f aca="false">IF(W$5="A",V425+0,Engagement_Register!$AP$32*W422)</f>
        <v>105000</v>
      </c>
      <c r="X425" s="62" t="n">
        <f aca="false">IF(X$5="A",W425+0,Engagement_Register!$AP$32*X422)</f>
        <v>105000</v>
      </c>
      <c r="Y425" s="62" t="n">
        <f aca="false">IF(Y$5="A",X425+0,Engagement_Register!$AP$32*Y422)</f>
        <v>105000</v>
      </c>
      <c r="Z425" s="62" t="n">
        <f aca="false">IF(Z$5="A",Y425+0,Engagement_Register!$AP$32*Z422)</f>
        <v>105000</v>
      </c>
      <c r="AA425" s="62" t="n">
        <f aca="false">IF(AA$5="A",Z425+0,Engagement_Register!$AP$32*AA422)</f>
        <v>105000</v>
      </c>
      <c r="AB425" s="62" t="n">
        <f aca="false">IF(AB$5="A",AA425+0,Engagement_Register!$AP$32*AB422)</f>
        <v>105000</v>
      </c>
    </row>
    <row r="426" customFormat="false" ht="15" hidden="false" customHeight="false" outlineLevel="0" collapsed="false">
      <c r="A426" s="68" t="s">
        <v>349</v>
      </c>
      <c r="B426" s="69" t="s">
        <v>859</v>
      </c>
      <c r="C426" s="70" t="n">
        <f aca="false">SUM(E426:P426)</f>
        <v>28497.8229317852</v>
      </c>
      <c r="D426" s="70" t="n">
        <f aca="false">SUM(Q426:AB426)</f>
        <v>76502.1770682148</v>
      </c>
      <c r="E426" s="74" t="n">
        <f aca="false">E425-Engagement_Register!$U$32</f>
        <v>0</v>
      </c>
      <c r="F426" s="70" t="n">
        <f aca="false">F425-E425</f>
        <v>0</v>
      </c>
      <c r="G426" s="70" t="n">
        <f aca="false">G425-F425</f>
        <v>0</v>
      </c>
      <c r="H426" s="70" t="n">
        <f aca="false">H425-G425</f>
        <v>0</v>
      </c>
      <c r="I426" s="70" t="n">
        <f aca="false">I425-H425</f>
        <v>0</v>
      </c>
      <c r="J426" s="70" t="n">
        <f aca="false">J425-I425</f>
        <v>0</v>
      </c>
      <c r="K426" s="70" t="n">
        <f aca="false">K425-J425</f>
        <v>0</v>
      </c>
      <c r="L426" s="70" t="n">
        <f aca="false">L425-K425</f>
        <v>0</v>
      </c>
      <c r="M426" s="70" t="n">
        <f aca="false">M425-L425</f>
        <v>0</v>
      </c>
      <c r="N426" s="70" t="n">
        <f aca="false">N425-M425</f>
        <v>0</v>
      </c>
      <c r="O426" s="70" t="n">
        <f aca="false">O425-N425</f>
        <v>0</v>
      </c>
      <c r="P426" s="70" t="n">
        <f aca="false">P425-O425</f>
        <v>28497.8229317852</v>
      </c>
      <c r="Q426" s="70" t="n">
        <f aca="false">Q425-P425</f>
        <v>24383.1640058055</v>
      </c>
      <c r="R426" s="70" t="n">
        <f aca="false">R425-Q425</f>
        <v>25145.1378809869</v>
      </c>
      <c r="S426" s="70" t="n">
        <f aca="false">S425-R425</f>
        <v>26973.8751814223</v>
      </c>
      <c r="T426" s="70" t="n">
        <f aca="false">T425-S425</f>
        <v>0</v>
      </c>
      <c r="U426" s="70" t="n">
        <f aca="false">U425-T425</f>
        <v>0</v>
      </c>
      <c r="V426" s="70" t="n">
        <f aca="false">V425-U425</f>
        <v>0</v>
      </c>
      <c r="W426" s="70" t="n">
        <f aca="false">W425-V425</f>
        <v>0</v>
      </c>
      <c r="X426" s="70" t="n">
        <f aca="false">X425-W425</f>
        <v>0</v>
      </c>
      <c r="Y426" s="70" t="n">
        <f aca="false">Y425-X425</f>
        <v>0</v>
      </c>
      <c r="Z426" s="70" t="n">
        <f aca="false">Z425-Y425</f>
        <v>0</v>
      </c>
      <c r="AA426" s="70" t="n">
        <f aca="false">AA425-Z425</f>
        <v>0</v>
      </c>
      <c r="AB426" s="70" t="n">
        <f aca="false">AB425-AA425</f>
        <v>0</v>
      </c>
    </row>
    <row r="427" customFormat="false" ht="15" hidden="false" customHeight="false" outlineLevel="0" collapsed="false">
      <c r="A427" s="29" t="s">
        <v>867</v>
      </c>
      <c r="B427" s="60" t="s">
        <v>868</v>
      </c>
      <c r="C427" s="61" t="n">
        <f aca="false">P427</f>
        <v>31500</v>
      </c>
      <c r="D427" s="61" t="n">
        <f aca="false">AB427</f>
        <v>105000</v>
      </c>
      <c r="E427" s="62" t="n">
        <f aca="false">Engagement_Register!$AP$32*(Assumptions!$C$146*(Assumptions!E$187&gt;=Engagement_Register!$AG$32)+Assumptions!$C$147*(Assumptions!E$187&gt;=Engagement_Register!$AI$32)+Assumptions!$C$148*(Assumptions!E$187&gt;=Engagement_Register!$AH$32))</f>
        <v>0</v>
      </c>
      <c r="F427" s="62" t="n">
        <f aca="false">Engagement_Register!$AP$32*(Assumptions!$C$146*(Assumptions!F$187&gt;=Engagement_Register!$AG$32)+Assumptions!$C$147*(Assumptions!F$187&gt;=Engagement_Register!$AI$32)+Assumptions!$C$148*(Assumptions!F$187&gt;=Engagement_Register!$AH$32))</f>
        <v>0</v>
      </c>
      <c r="G427" s="62" t="n">
        <f aca="false">Engagement_Register!$AP$32*(Assumptions!$C$146*(Assumptions!G$187&gt;=Engagement_Register!$AG$32)+Assumptions!$C$147*(Assumptions!G$187&gt;=Engagement_Register!$AI$32)+Assumptions!$C$148*(Assumptions!G$187&gt;=Engagement_Register!$AH$32))</f>
        <v>0</v>
      </c>
      <c r="H427" s="62" t="n">
        <f aca="false">Engagement_Register!$AP$32*(Assumptions!$C$146*(Assumptions!H$187&gt;=Engagement_Register!$AG$32)+Assumptions!$C$147*(Assumptions!H$187&gt;=Engagement_Register!$AI$32)+Assumptions!$C$148*(Assumptions!H$187&gt;=Engagement_Register!$AH$32))</f>
        <v>0</v>
      </c>
      <c r="I427" s="62" t="n">
        <f aca="false">Engagement_Register!$AP$32*(Assumptions!$C$146*(Assumptions!I$187&gt;=Engagement_Register!$AG$32)+Assumptions!$C$147*(Assumptions!I$187&gt;=Engagement_Register!$AI$32)+Assumptions!$C$148*(Assumptions!I$187&gt;=Engagement_Register!$AH$32))</f>
        <v>0</v>
      </c>
      <c r="J427" s="62" t="n">
        <f aca="false">Engagement_Register!$AP$32*(Assumptions!$C$146*(Assumptions!J$187&gt;=Engagement_Register!$AG$32)+Assumptions!$C$147*(Assumptions!J$187&gt;=Engagement_Register!$AI$32)+Assumptions!$C$148*(Assumptions!J$187&gt;=Engagement_Register!$AH$32))</f>
        <v>0</v>
      </c>
      <c r="K427" s="62" t="n">
        <f aca="false">Engagement_Register!$AP$32*(Assumptions!$C$146*(Assumptions!K$187&gt;=Engagement_Register!$AG$32)+Assumptions!$C$147*(Assumptions!K$187&gt;=Engagement_Register!$AI$32)+Assumptions!$C$148*(Assumptions!K$187&gt;=Engagement_Register!$AH$32))</f>
        <v>0</v>
      </c>
      <c r="L427" s="62" t="n">
        <f aca="false">Engagement_Register!$AP$32*(Assumptions!$C$146*(Assumptions!L$187&gt;=Engagement_Register!$AG$32)+Assumptions!$C$147*(Assumptions!L$187&gt;=Engagement_Register!$AI$32)+Assumptions!$C$148*(Assumptions!L$187&gt;=Engagement_Register!$AH$32))</f>
        <v>0</v>
      </c>
      <c r="M427" s="62" t="n">
        <f aca="false">Engagement_Register!$AP$32*(Assumptions!$C$146*(Assumptions!M$187&gt;=Engagement_Register!$AG$32)+Assumptions!$C$147*(Assumptions!M$187&gt;=Engagement_Register!$AI$32)+Assumptions!$C$148*(Assumptions!M$187&gt;=Engagement_Register!$AH$32))</f>
        <v>0</v>
      </c>
      <c r="N427" s="62" t="n">
        <f aca="false">Engagement_Register!$AP$32*(Assumptions!$C$146*(Assumptions!N$187&gt;=Engagement_Register!$AG$32)+Assumptions!$C$147*(Assumptions!N$187&gt;=Engagement_Register!$AI$32)+Assumptions!$C$148*(Assumptions!N$187&gt;=Engagement_Register!$AH$32))</f>
        <v>0</v>
      </c>
      <c r="O427" s="62" t="n">
        <f aca="false">Engagement_Register!$AP$32*(Assumptions!$C$146*(Assumptions!O$187&gt;=Engagement_Register!$AG$32)+Assumptions!$C$147*(Assumptions!O$187&gt;=Engagement_Register!$AI$32)+Assumptions!$C$148*(Assumptions!O$187&gt;=Engagement_Register!$AH$32))</f>
        <v>0</v>
      </c>
      <c r="P427" s="62" t="n">
        <f aca="false">Engagement_Register!$AP$32*(Assumptions!$C$146*(Assumptions!P$187&gt;=Engagement_Register!$AG$32)+Assumptions!$C$147*(Assumptions!P$187&gt;=Engagement_Register!$AI$32)+Assumptions!$C$148*(Assumptions!P$187&gt;=Engagement_Register!$AH$32))</f>
        <v>31500</v>
      </c>
      <c r="Q427" s="62" t="n">
        <f aca="false">Engagement_Register!$AP$32*(Assumptions!$C$146*(Assumptions!Q$187&gt;=Engagement_Register!$AG$32)+Assumptions!$C$147*(Assumptions!Q$187&gt;=Engagement_Register!$AI$32)+Assumptions!$C$148*(Assumptions!Q$187&gt;=Engagement_Register!$AH$32))</f>
        <v>31500</v>
      </c>
      <c r="R427" s="62" t="n">
        <f aca="false">Engagement_Register!$AP$32*(Assumptions!$C$146*(Assumptions!R$187&gt;=Engagement_Register!$AG$32)+Assumptions!$C$147*(Assumptions!R$187&gt;=Engagement_Register!$AI$32)+Assumptions!$C$148*(Assumptions!R$187&gt;=Engagement_Register!$AH$32))</f>
        <v>73500</v>
      </c>
      <c r="S427" s="62" t="n">
        <f aca="false">Engagement_Register!$AP$32*(Assumptions!$C$146*(Assumptions!S$187&gt;=Engagement_Register!$AG$32)+Assumptions!$C$147*(Assumptions!S$187&gt;=Engagement_Register!$AI$32)+Assumptions!$C$148*(Assumptions!S$187&gt;=Engagement_Register!$AH$32))</f>
        <v>105000</v>
      </c>
      <c r="T427" s="62" t="n">
        <f aca="false">Engagement_Register!$AP$32*(Assumptions!$C$146*(Assumptions!T$187&gt;=Engagement_Register!$AG$32)+Assumptions!$C$147*(Assumptions!T$187&gt;=Engagement_Register!$AI$32)+Assumptions!$C$148*(Assumptions!T$187&gt;=Engagement_Register!$AH$32))</f>
        <v>105000</v>
      </c>
      <c r="U427" s="62" t="n">
        <f aca="false">Engagement_Register!$AP$32*(Assumptions!$C$146*(Assumptions!U$187&gt;=Engagement_Register!$AG$32)+Assumptions!$C$147*(Assumptions!U$187&gt;=Engagement_Register!$AI$32)+Assumptions!$C$148*(Assumptions!U$187&gt;=Engagement_Register!$AH$32))</f>
        <v>105000</v>
      </c>
      <c r="V427" s="62" t="n">
        <f aca="false">Engagement_Register!$AP$32*(Assumptions!$C$146*(Assumptions!V$187&gt;=Engagement_Register!$AG$32)+Assumptions!$C$147*(Assumptions!V$187&gt;=Engagement_Register!$AI$32)+Assumptions!$C$148*(Assumptions!V$187&gt;=Engagement_Register!$AH$32))</f>
        <v>105000</v>
      </c>
      <c r="W427" s="62" t="n">
        <f aca="false">Engagement_Register!$AP$32*(Assumptions!$C$146*(Assumptions!W$187&gt;=Engagement_Register!$AG$32)+Assumptions!$C$147*(Assumptions!W$187&gt;=Engagement_Register!$AI$32)+Assumptions!$C$148*(Assumptions!W$187&gt;=Engagement_Register!$AH$32))</f>
        <v>105000</v>
      </c>
      <c r="X427" s="62" t="n">
        <f aca="false">Engagement_Register!$AP$32*(Assumptions!$C$146*(Assumptions!X$187&gt;=Engagement_Register!$AG$32)+Assumptions!$C$147*(Assumptions!X$187&gt;=Engagement_Register!$AI$32)+Assumptions!$C$148*(Assumptions!X$187&gt;=Engagement_Register!$AH$32))</f>
        <v>105000</v>
      </c>
      <c r="Y427" s="62" t="n">
        <f aca="false">Engagement_Register!$AP$32*(Assumptions!$C$146*(Assumptions!Y$187&gt;=Engagement_Register!$AG$32)+Assumptions!$C$147*(Assumptions!Y$187&gt;=Engagement_Register!$AI$32)+Assumptions!$C$148*(Assumptions!Y$187&gt;=Engagement_Register!$AH$32))</f>
        <v>105000</v>
      </c>
      <c r="Z427" s="62" t="n">
        <f aca="false">Engagement_Register!$AP$32*(Assumptions!$C$146*(Assumptions!Z$187&gt;=Engagement_Register!$AG$32)+Assumptions!$C$147*(Assumptions!Z$187&gt;=Engagement_Register!$AI$32)+Assumptions!$C$148*(Assumptions!Z$187&gt;=Engagement_Register!$AH$32))</f>
        <v>105000</v>
      </c>
      <c r="AA427" s="62" t="n">
        <f aca="false">Engagement_Register!$AP$32*(Assumptions!$C$146*(Assumptions!AA$187&gt;=Engagement_Register!$AG$32)+Assumptions!$C$147*(Assumptions!AA$187&gt;=Engagement_Register!$AI$32)+Assumptions!$C$148*(Assumptions!AA$187&gt;=Engagement_Register!$AH$32))</f>
        <v>105000</v>
      </c>
      <c r="AB427" s="62" t="n">
        <f aca="false">Engagement_Register!$AP$32*(Assumptions!$C$146*(Assumptions!AB$187&gt;=Engagement_Register!$AG$32)+Assumptions!$C$147*(Assumptions!AB$187&gt;=Engagement_Register!$AI$32)+Assumptions!$C$148*(Assumptions!AB$187&gt;=Engagement_Register!$AH$32))</f>
        <v>105000</v>
      </c>
    </row>
    <row r="428" customFormat="false" ht="15" hidden="false" customHeight="false" outlineLevel="0" collapsed="false">
      <c r="A428" s="29" t="s">
        <v>838</v>
      </c>
      <c r="B428" s="60" t="s">
        <v>869</v>
      </c>
      <c r="C428" s="61" t="n">
        <f aca="false">SUM(E428:P428)</f>
        <v>31500</v>
      </c>
      <c r="D428" s="61" t="n">
        <f aca="false">SUM(Q428:AB428)</f>
        <v>73500</v>
      </c>
      <c r="E428" s="62" t="n">
        <f aca="false">IF(E$5="A",0,MAX(0,E427-Engagement_Register!$V$32))</f>
        <v>0</v>
      </c>
      <c r="F428" s="71" t="n">
        <f aca="false">IF(F$5="A",0,MAX(0,F427-E429))</f>
        <v>0</v>
      </c>
      <c r="G428" s="71" t="n">
        <f aca="false">IF(G$5="A",0,MAX(0,G427-F429))</f>
        <v>0</v>
      </c>
      <c r="H428" s="71" t="n">
        <f aca="false">IF(H$5="A",0,MAX(0,H427-G429))</f>
        <v>0</v>
      </c>
      <c r="I428" s="71" t="n">
        <f aca="false">IF(I$5="A",0,MAX(0,I427-H429))</f>
        <v>0</v>
      </c>
      <c r="J428" s="71" t="n">
        <f aca="false">IF(J$5="A",0,MAX(0,J427-I429))</f>
        <v>0</v>
      </c>
      <c r="K428" s="71" t="n">
        <f aca="false">IF(K$5="A",0,MAX(0,K427-J429))</f>
        <v>0</v>
      </c>
      <c r="L428" s="71" t="n">
        <f aca="false">IF(L$5="A",0,MAX(0,L427-K429))</f>
        <v>0</v>
      </c>
      <c r="M428" s="71" t="n">
        <f aca="false">IF(M$5="A",0,MAX(0,M427-L429))</f>
        <v>0</v>
      </c>
      <c r="N428" s="71" t="n">
        <f aca="false">IF(N$5="A",0,MAX(0,N427-M429))</f>
        <v>0</v>
      </c>
      <c r="O428" s="71" t="n">
        <f aca="false">IF(O$5="A",0,MAX(0,O427-N429))</f>
        <v>0</v>
      </c>
      <c r="P428" s="71" t="n">
        <f aca="false">IF(P$5="A",0,MAX(0,P427-O429))</f>
        <v>31500</v>
      </c>
      <c r="Q428" s="71" t="n">
        <f aca="false">IF(Q$5="A",0,MAX(0,Q427-P429))</f>
        <v>0</v>
      </c>
      <c r="R428" s="71" t="n">
        <f aca="false">IF(R$5="A",0,MAX(0,R427-Q429))</f>
        <v>42000</v>
      </c>
      <c r="S428" s="71" t="n">
        <f aca="false">IF(S$5="A",0,MAX(0,S427-R429))</f>
        <v>31500</v>
      </c>
      <c r="T428" s="71" t="n">
        <f aca="false">IF(T$5="A",0,MAX(0,T427-S429))</f>
        <v>0</v>
      </c>
      <c r="U428" s="71" t="n">
        <f aca="false">IF(U$5="A",0,MAX(0,U427-T429))</f>
        <v>0</v>
      </c>
      <c r="V428" s="71" t="n">
        <f aca="false">IF(V$5="A",0,MAX(0,V427-U429))</f>
        <v>0</v>
      </c>
      <c r="W428" s="71" t="n">
        <f aca="false">IF(W$5="A",0,MAX(0,W427-V429))</f>
        <v>0</v>
      </c>
      <c r="X428" s="71" t="n">
        <f aca="false">IF(X$5="A",0,MAX(0,X427-W429))</f>
        <v>0</v>
      </c>
      <c r="Y428" s="71" t="n">
        <f aca="false">IF(Y$5="A",0,MAX(0,Y427-X429))</f>
        <v>0</v>
      </c>
      <c r="Z428" s="71" t="n">
        <f aca="false">IF(Z$5="A",0,MAX(0,Z427-Y429))</f>
        <v>0</v>
      </c>
      <c r="AA428" s="71" t="n">
        <f aca="false">IF(AA$5="A",0,MAX(0,AA427-Z429))</f>
        <v>0</v>
      </c>
      <c r="AB428" s="71" t="n">
        <f aca="false">IF(AB$5="A",0,MAX(0,AB427-AA429))</f>
        <v>0</v>
      </c>
    </row>
    <row r="429" customFormat="false" ht="15" hidden="false" customHeight="false" outlineLevel="0" collapsed="false">
      <c r="A429" s="29" t="s">
        <v>840</v>
      </c>
      <c r="B429" s="60"/>
      <c r="C429" s="61" t="n">
        <f aca="false">P429</f>
        <v>31500</v>
      </c>
      <c r="D429" s="61" t="n">
        <f aca="false">AB429</f>
        <v>105000</v>
      </c>
      <c r="E429" s="62" t="n">
        <f aca="false">Engagement_Register!$V$32+E428</f>
        <v>0</v>
      </c>
      <c r="F429" s="71" t="n">
        <f aca="false">E429+F428</f>
        <v>0</v>
      </c>
      <c r="G429" s="71" t="n">
        <f aca="false">F429+G428</f>
        <v>0</v>
      </c>
      <c r="H429" s="71" t="n">
        <f aca="false">G429+H428</f>
        <v>0</v>
      </c>
      <c r="I429" s="71" t="n">
        <f aca="false">H429+I428</f>
        <v>0</v>
      </c>
      <c r="J429" s="71" t="n">
        <f aca="false">I429+J428</f>
        <v>0</v>
      </c>
      <c r="K429" s="71" t="n">
        <f aca="false">J429+K428</f>
        <v>0</v>
      </c>
      <c r="L429" s="71" t="n">
        <f aca="false">K429+L428</f>
        <v>0</v>
      </c>
      <c r="M429" s="71" t="n">
        <f aca="false">L429+M428</f>
        <v>0</v>
      </c>
      <c r="N429" s="71" t="n">
        <f aca="false">M429+N428</f>
        <v>0</v>
      </c>
      <c r="O429" s="71" t="n">
        <f aca="false">N429+O428</f>
        <v>0</v>
      </c>
      <c r="P429" s="71" t="n">
        <f aca="false">O429+P428</f>
        <v>31500</v>
      </c>
      <c r="Q429" s="71" t="n">
        <f aca="false">P429+Q428</f>
        <v>31500</v>
      </c>
      <c r="R429" s="71" t="n">
        <f aca="false">Q429+R428</f>
        <v>73500</v>
      </c>
      <c r="S429" s="71" t="n">
        <f aca="false">R429+S428</f>
        <v>105000</v>
      </c>
      <c r="T429" s="71" t="n">
        <f aca="false">S429+T428</f>
        <v>105000</v>
      </c>
      <c r="U429" s="71" t="n">
        <f aca="false">T429+U428</f>
        <v>105000</v>
      </c>
      <c r="V429" s="71" t="n">
        <f aca="false">U429+V428</f>
        <v>105000</v>
      </c>
      <c r="W429" s="71" t="n">
        <f aca="false">V429+W428</f>
        <v>105000</v>
      </c>
      <c r="X429" s="71" t="n">
        <f aca="false">W429+X428</f>
        <v>105000</v>
      </c>
      <c r="Y429" s="71" t="n">
        <f aca="false">X429+Y428</f>
        <v>105000</v>
      </c>
      <c r="Z429" s="71" t="n">
        <f aca="false">Y429+Z428</f>
        <v>105000</v>
      </c>
      <c r="AA429" s="71" t="n">
        <f aca="false">Z429+AA428</f>
        <v>105000</v>
      </c>
      <c r="AB429" s="71" t="n">
        <f aca="false">AA429+AB428</f>
        <v>105000</v>
      </c>
    </row>
    <row r="430" customFormat="false" ht="15" hidden="false" customHeight="false" outlineLevel="0" collapsed="false">
      <c r="A430" s="29" t="s">
        <v>841</v>
      </c>
      <c r="B430" s="60" t="s">
        <v>842</v>
      </c>
      <c r="C430" s="61" t="n">
        <f aca="false">SUM(E430:P430)</f>
        <v>1338.82772133527</v>
      </c>
      <c r="D430" s="61" t="n">
        <f aca="false">SUM(Q430:AB430)</f>
        <v>3701.89444702467</v>
      </c>
      <c r="E430" s="62" t="n">
        <f aca="false">IF(E$5="A",0,E34*Engagement_Register!$N$32*Assumptions!E$195)</f>
        <v>0</v>
      </c>
      <c r="F430" s="62" t="n">
        <f aca="false">IF(F$5="A",0,F34*Engagement_Register!$N$32*Assumptions!F$195)</f>
        <v>0</v>
      </c>
      <c r="G430" s="62" t="n">
        <f aca="false">IF(G$5="A",0,G34*Engagement_Register!$N$32*Assumptions!G$195)</f>
        <v>0</v>
      </c>
      <c r="H430" s="62" t="n">
        <f aca="false">IF(H$5="A",0,H34*Engagement_Register!$N$32*Assumptions!H$195)</f>
        <v>0</v>
      </c>
      <c r="I430" s="62" t="n">
        <f aca="false">IF(I$5="A",0,I34*Engagement_Register!$N$32*Assumptions!I$195)</f>
        <v>0</v>
      </c>
      <c r="J430" s="62" t="n">
        <f aca="false">IF(J$5="A",0,J34*Engagement_Register!$N$32*Assumptions!J$195)</f>
        <v>0</v>
      </c>
      <c r="K430" s="62" t="n">
        <f aca="false">IF(K$5="A",0,K34*Engagement_Register!$N$32*Assumptions!K$195)</f>
        <v>0</v>
      </c>
      <c r="L430" s="62" t="n">
        <f aca="false">IF(L$5="A",0,L34*Engagement_Register!$N$32*Assumptions!L$195)</f>
        <v>0</v>
      </c>
      <c r="M430" s="62" t="n">
        <f aca="false">IF(M$5="A",0,M34*Engagement_Register!$N$32*Assumptions!M$195)</f>
        <v>0</v>
      </c>
      <c r="N430" s="62" t="n">
        <f aca="false">IF(N$5="A",0,N34*Engagement_Register!$N$32*Assumptions!N$195)</f>
        <v>0</v>
      </c>
      <c r="O430" s="62" t="n">
        <f aca="false">IF(O$5="A",0,O34*Engagement_Register!$N$32*Assumptions!O$195)</f>
        <v>0</v>
      </c>
      <c r="P430" s="62" t="n">
        <f aca="false">IF(P$5="A",0,P34*Engagement_Register!$N$32*Assumptions!P$195)</f>
        <v>1338.82772133527</v>
      </c>
      <c r="Q430" s="62" t="n">
        <f aca="false">IF(Q$5="A",0,Q34*Engagement_Register!$N$32*Assumptions!Q$195)</f>
        <v>1179.88667634253</v>
      </c>
      <c r="R430" s="62" t="n">
        <f aca="false">IF(R$5="A",0,R34*Engagement_Register!$N$32*Assumptions!R$195)</f>
        <v>1216.75813497823</v>
      </c>
      <c r="S430" s="62" t="n">
        <f aca="false">IF(S$5="A",0,S34*Engagement_Register!$N$32*Assumptions!S$195)</f>
        <v>1305.24963570392</v>
      </c>
      <c r="T430" s="62" t="n">
        <f aca="false">IF(T$5="A",0,T34*Engagement_Register!$N$32*Assumptions!T$195)</f>
        <v>0</v>
      </c>
      <c r="U430" s="62" t="n">
        <f aca="false">IF(U$5="A",0,U34*Engagement_Register!$N$32*Assumptions!U$195)</f>
        <v>0</v>
      </c>
      <c r="V430" s="62" t="n">
        <f aca="false">IF(V$5="A",0,V34*Engagement_Register!$N$32*Assumptions!V$195)</f>
        <v>0</v>
      </c>
      <c r="W430" s="62" t="n">
        <f aca="false">IF(W$5="A",0,W34*Engagement_Register!$N$32*Assumptions!W$195)</f>
        <v>0</v>
      </c>
      <c r="X430" s="62" t="n">
        <f aca="false">IF(X$5="A",0,X34*Engagement_Register!$N$32*Assumptions!X$195)</f>
        <v>0</v>
      </c>
      <c r="Y430" s="62" t="n">
        <f aca="false">IF(Y$5="A",0,Y34*Engagement_Register!$N$32*Assumptions!Y$195)</f>
        <v>0</v>
      </c>
      <c r="Z430" s="62" t="n">
        <f aca="false">IF(Z$5="A",0,Z34*Engagement_Register!$N$32*Assumptions!Z$195)</f>
        <v>0</v>
      </c>
      <c r="AA430" s="62" t="n">
        <f aca="false">IF(AA$5="A",0,AA34*Engagement_Register!$N$32*Assumptions!AA$195)</f>
        <v>0</v>
      </c>
      <c r="AB430" s="62" t="n">
        <f aca="false">IF(AB$5="A",0,AB34*Engagement_Register!$N$32*Assumptions!AB$195)</f>
        <v>0</v>
      </c>
    </row>
    <row r="431" customFormat="false" ht="15" hidden="false" customHeight="false" outlineLevel="0" collapsed="false">
      <c r="A431" s="29" t="s">
        <v>847</v>
      </c>
      <c r="B431" s="60" t="s">
        <v>848</v>
      </c>
      <c r="C431" s="61" t="n">
        <f aca="false">P431</f>
        <v>-3002.17706821481</v>
      </c>
      <c r="D431" s="61" t="n">
        <f aca="false">AB431</f>
        <v>0</v>
      </c>
      <c r="E431" s="62" t="n">
        <f aca="false">Engagement_Register!$X$32+E426-E428</f>
        <v>0</v>
      </c>
      <c r="F431" s="71" t="n">
        <f aca="false">E431+F426-F428</f>
        <v>0</v>
      </c>
      <c r="G431" s="71" t="n">
        <f aca="false">F431+G426-G428</f>
        <v>0</v>
      </c>
      <c r="H431" s="71" t="n">
        <f aca="false">G431+H426-H428</f>
        <v>0</v>
      </c>
      <c r="I431" s="71" t="n">
        <f aca="false">H431+I426-I428</f>
        <v>0</v>
      </c>
      <c r="J431" s="71" t="n">
        <f aca="false">I431+J426-J428</f>
        <v>0</v>
      </c>
      <c r="K431" s="71" t="n">
        <f aca="false">J431+K426-K428</f>
        <v>0</v>
      </c>
      <c r="L431" s="71" t="n">
        <f aca="false">K431+L426-L428</f>
        <v>0</v>
      </c>
      <c r="M431" s="71" t="n">
        <f aca="false">L431+M426-M428</f>
        <v>0</v>
      </c>
      <c r="N431" s="71" t="n">
        <f aca="false">M431+N426-N428</f>
        <v>0</v>
      </c>
      <c r="O431" s="71" t="n">
        <f aca="false">N431+O426-O428</f>
        <v>0</v>
      </c>
      <c r="P431" s="71" t="n">
        <f aca="false">O431+P426-P428</f>
        <v>-3002.17706821481</v>
      </c>
      <c r="Q431" s="71" t="n">
        <f aca="false">P431+Q426-Q428</f>
        <v>21380.9869375907</v>
      </c>
      <c r="R431" s="71" t="n">
        <f aca="false">Q431+R426-R428</f>
        <v>4526.12481857764</v>
      </c>
      <c r="S431" s="71" t="n">
        <f aca="false">R431+S426-S428</f>
        <v>0</v>
      </c>
      <c r="T431" s="71" t="n">
        <f aca="false">S431+T426-T428</f>
        <v>0</v>
      </c>
      <c r="U431" s="71" t="n">
        <f aca="false">T431+U426-U428</f>
        <v>0</v>
      </c>
      <c r="V431" s="71" t="n">
        <f aca="false">U431+V426-V428</f>
        <v>0</v>
      </c>
      <c r="W431" s="71" t="n">
        <f aca="false">V431+W426-W428</f>
        <v>0</v>
      </c>
      <c r="X431" s="71" t="n">
        <f aca="false">W431+X426-X428</f>
        <v>0</v>
      </c>
      <c r="Y431" s="71" t="n">
        <f aca="false">X431+Y426-Y428</f>
        <v>0</v>
      </c>
      <c r="Z431" s="71" t="n">
        <f aca="false">Y431+Z426-Z428</f>
        <v>0</v>
      </c>
      <c r="AA431" s="71" t="n">
        <f aca="false">Z431+AA426-AA428</f>
        <v>0</v>
      </c>
      <c r="AB431" s="71" t="n">
        <f aca="false">AA431+AB426-AB428</f>
        <v>0</v>
      </c>
    </row>
    <row r="432" customFormat="false" ht="15" hidden="false" customHeight="false" outlineLevel="0" collapsed="false">
      <c r="A432" s="29" t="s">
        <v>890</v>
      </c>
      <c r="B432" s="60" t="s">
        <v>850</v>
      </c>
      <c r="C432" s="61" t="n">
        <f aca="false">P432</f>
        <v>76502.1770682148</v>
      </c>
      <c r="D432" s="61" t="n">
        <f aca="false">AB432</f>
        <v>0</v>
      </c>
      <c r="E432" s="62" t="n">
        <f aca="false">MAX(0,Engagement_Register!$AP$32-E425)</f>
        <v>105000</v>
      </c>
      <c r="F432" s="62" t="n">
        <f aca="false">MAX(0,Engagement_Register!$AP$32-F425)</f>
        <v>105000</v>
      </c>
      <c r="G432" s="62" t="n">
        <f aca="false">MAX(0,Engagement_Register!$AP$32-G425)</f>
        <v>105000</v>
      </c>
      <c r="H432" s="62" t="n">
        <f aca="false">MAX(0,Engagement_Register!$AP$32-H425)</f>
        <v>105000</v>
      </c>
      <c r="I432" s="62" t="n">
        <f aca="false">MAX(0,Engagement_Register!$AP$32-I425)</f>
        <v>105000</v>
      </c>
      <c r="J432" s="62" t="n">
        <f aca="false">MAX(0,Engagement_Register!$AP$32-J425)</f>
        <v>105000</v>
      </c>
      <c r="K432" s="62" t="n">
        <f aca="false">MAX(0,Engagement_Register!$AP$32-K425)</f>
        <v>105000</v>
      </c>
      <c r="L432" s="62" t="n">
        <f aca="false">MAX(0,Engagement_Register!$AP$32-L425)</f>
        <v>105000</v>
      </c>
      <c r="M432" s="62" t="n">
        <f aca="false">MAX(0,Engagement_Register!$AP$32-M425)</f>
        <v>105000</v>
      </c>
      <c r="N432" s="62" t="n">
        <f aca="false">MAX(0,Engagement_Register!$AP$32-N425)</f>
        <v>105000</v>
      </c>
      <c r="O432" s="62" t="n">
        <f aca="false">MAX(0,Engagement_Register!$AP$32-O425)</f>
        <v>105000</v>
      </c>
      <c r="P432" s="62" t="n">
        <f aca="false">MAX(0,Engagement_Register!$AP$32-P425)</f>
        <v>76502.1770682148</v>
      </c>
      <c r="Q432" s="62" t="n">
        <f aca="false">MAX(0,Engagement_Register!$AP$32-Q425)</f>
        <v>52119.0130624093</v>
      </c>
      <c r="R432" s="62" t="n">
        <f aca="false">MAX(0,Engagement_Register!$AP$32-R425)</f>
        <v>26973.8751814224</v>
      </c>
      <c r="S432" s="62" t="n">
        <f aca="false">MAX(0,Engagement_Register!$AP$32-S425)</f>
        <v>0</v>
      </c>
      <c r="T432" s="62" t="n">
        <f aca="false">MAX(0,Engagement_Register!$AP$32-T425)</f>
        <v>0</v>
      </c>
      <c r="U432" s="62" t="n">
        <f aca="false">MAX(0,Engagement_Register!$AP$32-U425)</f>
        <v>0</v>
      </c>
      <c r="V432" s="62" t="n">
        <f aca="false">MAX(0,Engagement_Register!$AP$32-V425)</f>
        <v>0</v>
      </c>
      <c r="W432" s="62" t="n">
        <f aca="false">MAX(0,Engagement_Register!$AP$32-W425)</f>
        <v>0</v>
      </c>
      <c r="X432" s="62" t="n">
        <f aca="false">MAX(0,Engagement_Register!$AP$32-X425)</f>
        <v>0</v>
      </c>
      <c r="Y432" s="62" t="n">
        <f aca="false">MAX(0,Engagement_Register!$AP$32-Y425)</f>
        <v>0</v>
      </c>
      <c r="Z432" s="62" t="n">
        <f aca="false">MAX(0,Engagement_Register!$AP$32-Z425)</f>
        <v>0</v>
      </c>
      <c r="AA432" s="62" t="n">
        <f aca="false">MAX(0,Engagement_Register!$AP$32-AA425)</f>
        <v>0</v>
      </c>
      <c r="AB432" s="62" t="n">
        <f aca="false">MAX(0,Engagement_Register!$AP$32-AB425)</f>
        <v>0</v>
      </c>
    </row>
    <row r="434" customFormat="false" ht="15" hidden="false" customHeight="false" outlineLevel="0" collapsed="false">
      <c r="A434" s="23" t="s">
        <v>893</v>
      </c>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row>
    <row r="435" customFormat="false" ht="15" hidden="false" customHeight="false" outlineLevel="0" collapsed="false">
      <c r="A435" s="29" t="s">
        <v>736</v>
      </c>
      <c r="B435" s="60" t="s">
        <v>832</v>
      </c>
      <c r="C435" s="66" t="n">
        <f aca="false">P435</f>
        <v>0</v>
      </c>
      <c r="D435" s="66" t="n">
        <f aca="false">AB435</f>
        <v>1320</v>
      </c>
      <c r="E435" s="67" t="n">
        <f aca="false">Engagement_Register!$T$33+E35</f>
        <v>0</v>
      </c>
      <c r="F435" s="72" t="n">
        <f aca="false">E435+F35</f>
        <v>0</v>
      </c>
      <c r="G435" s="72" t="n">
        <f aca="false">F435+G35</f>
        <v>0</v>
      </c>
      <c r="H435" s="72" t="n">
        <f aca="false">G435+H35</f>
        <v>0</v>
      </c>
      <c r="I435" s="72" t="n">
        <f aca="false">H435+I35</f>
        <v>0</v>
      </c>
      <c r="J435" s="72" t="n">
        <f aca="false">I435+J35</f>
        <v>0</v>
      </c>
      <c r="K435" s="72" t="n">
        <f aca="false">J435+K35</f>
        <v>0</v>
      </c>
      <c r="L435" s="72" t="n">
        <f aca="false">K435+L35</f>
        <v>0</v>
      </c>
      <c r="M435" s="72" t="n">
        <f aca="false">L435+M35</f>
        <v>0</v>
      </c>
      <c r="N435" s="72" t="n">
        <f aca="false">M435+N35</f>
        <v>0</v>
      </c>
      <c r="O435" s="72" t="n">
        <f aca="false">N435+O35</f>
        <v>0</v>
      </c>
      <c r="P435" s="72" t="n">
        <f aca="false">O435+P35</f>
        <v>0</v>
      </c>
      <c r="Q435" s="72" t="n">
        <f aca="false">P435+Q35</f>
        <v>175.415282392027</v>
      </c>
      <c r="R435" s="72" t="n">
        <f aca="false">Q435+R35</f>
        <v>356.312292358804</v>
      </c>
      <c r="S435" s="72" t="n">
        <f aca="false">R435+S35</f>
        <v>550.365448504983</v>
      </c>
      <c r="T435" s="72" t="n">
        <f aca="false">S435+T35</f>
        <v>753.189368770764</v>
      </c>
      <c r="U435" s="72" t="n">
        <f aca="false">T435+U35</f>
        <v>907.774086378738</v>
      </c>
      <c r="V435" s="72" t="n">
        <f aca="false">U435+V35</f>
        <v>1117.17607973422</v>
      </c>
      <c r="W435" s="72" t="n">
        <f aca="false">V435+W35</f>
        <v>1320</v>
      </c>
      <c r="X435" s="72" t="n">
        <f aca="false">W435+X35</f>
        <v>1320</v>
      </c>
      <c r="Y435" s="72" t="n">
        <f aca="false">X435+Y35</f>
        <v>1320</v>
      </c>
      <c r="Z435" s="72" t="n">
        <f aca="false">Y435+Z35</f>
        <v>1320</v>
      </c>
      <c r="AA435" s="72" t="n">
        <f aca="false">Z435+AA35</f>
        <v>1320</v>
      </c>
      <c r="AB435" s="72" t="n">
        <f aca="false">AA435+AB35</f>
        <v>1320</v>
      </c>
    </row>
    <row r="436" customFormat="false" ht="15" hidden="false" customHeight="false" outlineLevel="0" collapsed="false">
      <c r="A436" s="29" t="s">
        <v>833</v>
      </c>
      <c r="B436" s="60" t="s">
        <v>834</v>
      </c>
      <c r="C436" s="61" t="n">
        <f aca="false">SUM(E436:P436)</f>
        <v>0</v>
      </c>
      <c r="D436" s="61" t="n">
        <f aca="false">SUM(Q436:AB436)</f>
        <v>270029.76</v>
      </c>
      <c r="E436" s="62" t="n">
        <f aca="false">E35*Engagement_Register!$AD$33*Assumptions!E$194</f>
        <v>0</v>
      </c>
      <c r="F436" s="62" t="n">
        <f aca="false">F35*Engagement_Register!$AD$33*Assumptions!F$194</f>
        <v>0</v>
      </c>
      <c r="G436" s="62" t="n">
        <f aca="false">G35*Engagement_Register!$AD$33*Assumptions!G$194</f>
        <v>0</v>
      </c>
      <c r="H436" s="62" t="n">
        <f aca="false">H35*Engagement_Register!$AD$33*Assumptions!H$194</f>
        <v>0</v>
      </c>
      <c r="I436" s="62" t="n">
        <f aca="false">I35*Engagement_Register!$AD$33*Assumptions!I$194</f>
        <v>0</v>
      </c>
      <c r="J436" s="62" t="n">
        <f aca="false">J35*Engagement_Register!$AD$33*Assumptions!J$194</f>
        <v>0</v>
      </c>
      <c r="K436" s="62" t="n">
        <f aca="false">K35*Engagement_Register!$AD$33*Assumptions!K$194</f>
        <v>0</v>
      </c>
      <c r="L436" s="62" t="n">
        <f aca="false">L35*Engagement_Register!$AD$33*Assumptions!L$194</f>
        <v>0</v>
      </c>
      <c r="M436" s="62" t="n">
        <f aca="false">M35*Engagement_Register!$AD$33*Assumptions!M$194</f>
        <v>0</v>
      </c>
      <c r="N436" s="62" t="n">
        <f aca="false">N35*Engagement_Register!$AD$33*Assumptions!N$194</f>
        <v>0</v>
      </c>
      <c r="O436" s="62" t="n">
        <f aca="false">O35*Engagement_Register!$AD$33*Assumptions!O$194</f>
        <v>0</v>
      </c>
      <c r="P436" s="62" t="n">
        <f aca="false">P35*Engagement_Register!$AD$33*Assumptions!P$194</f>
        <v>0</v>
      </c>
      <c r="Q436" s="62" t="n">
        <f aca="false">Q35*Engagement_Register!$AD$33*Assumptions!Q$194</f>
        <v>35884.3534883721</v>
      </c>
      <c r="R436" s="62" t="n">
        <f aca="false">R35*Engagement_Register!$AD$33*Assumptions!R$194</f>
        <v>37005.7395348837</v>
      </c>
      <c r="S436" s="62" t="n">
        <f aca="false">S35*Engagement_Register!$AD$33*Assumptions!S$194</f>
        <v>39697.0660465116</v>
      </c>
      <c r="T436" s="62" t="n">
        <f aca="false">T35*Engagement_Register!$AD$33*Assumptions!T$194</f>
        <v>41491.2837209302</v>
      </c>
      <c r="U436" s="62" t="n">
        <f aca="false">U35*Engagement_Register!$AD$33*Assumptions!U$194</f>
        <v>31623.0865116279</v>
      </c>
      <c r="V436" s="62" t="n">
        <f aca="false">V35*Engagement_Register!$AD$33*Assumptions!V$194</f>
        <v>42836.9469767442</v>
      </c>
      <c r="W436" s="62" t="n">
        <f aca="false">W35*Engagement_Register!$AD$33*Assumptions!W$194</f>
        <v>41491.2837209302</v>
      </c>
      <c r="X436" s="62" t="n">
        <f aca="false">X35*Engagement_Register!$AD$33*Assumptions!X$194</f>
        <v>0</v>
      </c>
      <c r="Y436" s="62" t="n">
        <f aca="false">Y35*Engagement_Register!$AD$33*Assumptions!Y$194</f>
        <v>0</v>
      </c>
      <c r="Z436" s="62" t="n">
        <f aca="false">Z35*Engagement_Register!$AD$33*Assumptions!Z$194</f>
        <v>0</v>
      </c>
      <c r="AA436" s="62" t="n">
        <f aca="false">AA35*Engagement_Register!$AD$33*Assumptions!AA$194</f>
        <v>0</v>
      </c>
      <c r="AB436" s="62" t="n">
        <f aca="false">AB35*Engagement_Register!$AD$33*Assumptions!AB$194</f>
        <v>0</v>
      </c>
    </row>
    <row r="437" customFormat="false" ht="15" hidden="false" customHeight="false" outlineLevel="0" collapsed="false">
      <c r="A437" s="29" t="s">
        <v>835</v>
      </c>
      <c r="B437" s="60" t="s">
        <v>836</v>
      </c>
      <c r="C437" s="61" t="n">
        <f aca="false">SUM(E437:P437)</f>
        <v>0</v>
      </c>
      <c r="D437" s="61" t="n">
        <f aca="false">SUM(Q437:AB437)</f>
        <v>256528.272</v>
      </c>
      <c r="E437" s="62" t="n">
        <f aca="false">E35*Engagement_Register!$AE$33*Assumptions!E$194</f>
        <v>0</v>
      </c>
      <c r="F437" s="62" t="n">
        <f aca="false">F35*Engagement_Register!$AE$33*Assumptions!F$194</f>
        <v>0</v>
      </c>
      <c r="G437" s="62" t="n">
        <f aca="false">G35*Engagement_Register!$AE$33*Assumptions!G$194</f>
        <v>0</v>
      </c>
      <c r="H437" s="62" t="n">
        <f aca="false">H35*Engagement_Register!$AE$33*Assumptions!H$194</f>
        <v>0</v>
      </c>
      <c r="I437" s="62" t="n">
        <f aca="false">I35*Engagement_Register!$AE$33*Assumptions!I$194</f>
        <v>0</v>
      </c>
      <c r="J437" s="62" t="n">
        <f aca="false">J35*Engagement_Register!$AE$33*Assumptions!J$194</f>
        <v>0</v>
      </c>
      <c r="K437" s="62" t="n">
        <f aca="false">K35*Engagement_Register!$AE$33*Assumptions!K$194</f>
        <v>0</v>
      </c>
      <c r="L437" s="62" t="n">
        <f aca="false">L35*Engagement_Register!$AE$33*Assumptions!L$194</f>
        <v>0</v>
      </c>
      <c r="M437" s="62" t="n">
        <f aca="false">M35*Engagement_Register!$AE$33*Assumptions!M$194</f>
        <v>0</v>
      </c>
      <c r="N437" s="62" t="n">
        <f aca="false">N35*Engagement_Register!$AE$33*Assumptions!N$194</f>
        <v>0</v>
      </c>
      <c r="O437" s="62" t="n">
        <f aca="false">O35*Engagement_Register!$AE$33*Assumptions!O$194</f>
        <v>0</v>
      </c>
      <c r="P437" s="62" t="n">
        <f aca="false">P35*Engagement_Register!$AE$33*Assumptions!P$194</f>
        <v>0</v>
      </c>
      <c r="Q437" s="62" t="n">
        <f aca="false">Q35*Engagement_Register!$AE$33*Assumptions!Q$194</f>
        <v>34090.1358139535</v>
      </c>
      <c r="R437" s="62" t="n">
        <f aca="false">R35*Engagement_Register!$AE$33*Assumptions!R$194</f>
        <v>35155.4525581395</v>
      </c>
      <c r="S437" s="62" t="n">
        <f aca="false">S35*Engagement_Register!$AE$33*Assumptions!S$194</f>
        <v>37712.212744186</v>
      </c>
      <c r="T437" s="62" t="n">
        <f aca="false">T35*Engagement_Register!$AE$33*Assumptions!T$194</f>
        <v>39416.7195348837</v>
      </c>
      <c r="U437" s="62" t="n">
        <f aca="false">U35*Engagement_Register!$AE$33*Assumptions!U$194</f>
        <v>30041.9321860465</v>
      </c>
      <c r="V437" s="62" t="n">
        <f aca="false">V35*Engagement_Register!$AE$33*Assumptions!V$194</f>
        <v>40695.099627907</v>
      </c>
      <c r="W437" s="62" t="n">
        <f aca="false">W35*Engagement_Register!$AE$33*Assumptions!W$194</f>
        <v>39416.7195348837</v>
      </c>
      <c r="X437" s="62" t="n">
        <f aca="false">X35*Engagement_Register!$AE$33*Assumptions!X$194</f>
        <v>0</v>
      </c>
      <c r="Y437" s="62" t="n">
        <f aca="false">Y35*Engagement_Register!$AE$33*Assumptions!Y$194</f>
        <v>0</v>
      </c>
      <c r="Z437" s="62" t="n">
        <f aca="false">Z35*Engagement_Register!$AE$33*Assumptions!Z$194</f>
        <v>0</v>
      </c>
      <c r="AA437" s="62" t="n">
        <f aca="false">AA35*Engagement_Register!$AE$33*Assumptions!AA$194</f>
        <v>0</v>
      </c>
      <c r="AB437" s="62" t="n">
        <f aca="false">AB35*Engagement_Register!$AE$33*Assumptions!AB$194</f>
        <v>0</v>
      </c>
    </row>
    <row r="438" customFormat="false" ht="15" hidden="false" customHeight="false" outlineLevel="0" collapsed="false">
      <c r="A438" s="68" t="s">
        <v>349</v>
      </c>
      <c r="B438" s="69" t="s">
        <v>837</v>
      </c>
      <c r="C438" s="70" t="n">
        <f aca="false">SUM(E438:P438)</f>
        <v>0</v>
      </c>
      <c r="D438" s="70" t="n">
        <f aca="false">SUM(Q438:AB438)</f>
        <v>246267.14112</v>
      </c>
      <c r="E438" s="74" t="n">
        <f aca="false">IF(E$5="A",0,E437*(1-Engagement_Register!$AS$33))</f>
        <v>0</v>
      </c>
      <c r="F438" s="74" t="n">
        <f aca="false">IF(F$5="A",0,F437*(1-Engagement_Register!$AS$33))</f>
        <v>0</v>
      </c>
      <c r="G438" s="74" t="n">
        <f aca="false">IF(G$5="A",0,G437*(1-Engagement_Register!$AS$33))</f>
        <v>0</v>
      </c>
      <c r="H438" s="74" t="n">
        <f aca="false">IF(H$5="A",0,H437*(1-Engagement_Register!$AS$33))</f>
        <v>0</v>
      </c>
      <c r="I438" s="74" t="n">
        <f aca="false">IF(I$5="A",0,I437*(1-Engagement_Register!$AS$33))</f>
        <v>0</v>
      </c>
      <c r="J438" s="74" t="n">
        <f aca="false">IF(J$5="A",0,J437*(1-Engagement_Register!$AS$33))</f>
        <v>0</v>
      </c>
      <c r="K438" s="74" t="n">
        <f aca="false">IF(K$5="A",0,K437*(1-Engagement_Register!$AS$33))</f>
        <v>0</v>
      </c>
      <c r="L438" s="74" t="n">
        <f aca="false">IF(L$5="A",0,L437*(1-Engagement_Register!$AS$33))</f>
        <v>0</v>
      </c>
      <c r="M438" s="74" t="n">
        <f aca="false">IF(M$5="A",0,M437*(1-Engagement_Register!$AS$33))</f>
        <v>0</v>
      </c>
      <c r="N438" s="74" t="n">
        <f aca="false">IF(N$5="A",0,N437*(1-Engagement_Register!$AS$33))</f>
        <v>0</v>
      </c>
      <c r="O438" s="74" t="n">
        <f aca="false">IF(O$5="A",0,O437*(1-Engagement_Register!$AS$33))</f>
        <v>0</v>
      </c>
      <c r="P438" s="74" t="n">
        <f aca="false">IF(P$5="A",0,P437*(1-Engagement_Register!$AS$33))</f>
        <v>0</v>
      </c>
      <c r="Q438" s="74" t="n">
        <f aca="false">IF(Q$5="A",0,Q437*(1-Engagement_Register!$AS$33))</f>
        <v>32726.5303813953</v>
      </c>
      <c r="R438" s="74" t="n">
        <f aca="false">IF(R$5="A",0,R437*(1-Engagement_Register!$AS$33))</f>
        <v>33749.234455814</v>
      </c>
      <c r="S438" s="74" t="n">
        <f aca="false">IF(S$5="A",0,S437*(1-Engagement_Register!$AS$33))</f>
        <v>36203.7242344186</v>
      </c>
      <c r="T438" s="74" t="n">
        <f aca="false">IF(T$5="A",0,T437*(1-Engagement_Register!$AS$33))</f>
        <v>37840.0507534884</v>
      </c>
      <c r="U438" s="74" t="n">
        <f aca="false">IF(U$5="A",0,U437*(1-Engagement_Register!$AS$33))</f>
        <v>28840.2548986047</v>
      </c>
      <c r="V438" s="74" t="n">
        <f aca="false">IF(V$5="A",0,V437*(1-Engagement_Register!$AS$33))</f>
        <v>39067.2956427907</v>
      </c>
      <c r="W438" s="74" t="n">
        <f aca="false">IF(W$5="A",0,W437*(1-Engagement_Register!$AS$33))</f>
        <v>37840.0507534884</v>
      </c>
      <c r="X438" s="74" t="n">
        <f aca="false">IF(X$5="A",0,X437*(1-Engagement_Register!$AS$33))</f>
        <v>0</v>
      </c>
      <c r="Y438" s="74" t="n">
        <f aca="false">IF(Y$5="A",0,Y437*(1-Engagement_Register!$AS$33))</f>
        <v>0</v>
      </c>
      <c r="Z438" s="74" t="n">
        <f aca="false">IF(Z$5="A",0,Z437*(1-Engagement_Register!$AS$33))</f>
        <v>0</v>
      </c>
      <c r="AA438" s="74" t="n">
        <f aca="false">IF(AA$5="A",0,AA437*(1-Engagement_Register!$AS$33))</f>
        <v>0</v>
      </c>
      <c r="AB438" s="74" t="n">
        <f aca="false">IF(AB$5="A",0,AB437*(1-Engagement_Register!$AS$33))</f>
        <v>0</v>
      </c>
    </row>
    <row r="439" customFormat="false" ht="15" hidden="false" customHeight="false" outlineLevel="0" collapsed="false">
      <c r="A439" s="29" t="s">
        <v>838</v>
      </c>
      <c r="B439" s="60" t="s">
        <v>839</v>
      </c>
      <c r="C439" s="61" t="n">
        <f aca="false">SUM(E439:P439)</f>
        <v>0</v>
      </c>
      <c r="D439" s="61" t="n">
        <f aca="false">SUM(Q439:AB439)</f>
        <v>246267.14112</v>
      </c>
      <c r="E439" s="71" t="n">
        <f aca="false">IF(E$5="A",0,0)</f>
        <v>0</v>
      </c>
      <c r="F439" s="71" t="n">
        <f aca="false">IF(F$5="A",0,E438)</f>
        <v>0</v>
      </c>
      <c r="G439" s="71" t="n">
        <f aca="false">IF(G$5="A",0,F438)</f>
        <v>0</v>
      </c>
      <c r="H439" s="71" t="n">
        <f aca="false">IF(H$5="A",0,G438)</f>
        <v>0</v>
      </c>
      <c r="I439" s="71" t="n">
        <f aca="false">IF(I$5="A",0,H438)</f>
        <v>0</v>
      </c>
      <c r="J439" s="71" t="n">
        <f aca="false">IF(J$5="A",0,I438)</f>
        <v>0</v>
      </c>
      <c r="K439" s="71" t="n">
        <f aca="false">IF(K$5="A",0,J438)</f>
        <v>0</v>
      </c>
      <c r="L439" s="71" t="n">
        <f aca="false">IF(L$5="A",0,K438)</f>
        <v>0</v>
      </c>
      <c r="M439" s="71" t="n">
        <f aca="false">IF(M$5="A",0,L438)</f>
        <v>0</v>
      </c>
      <c r="N439" s="71" t="n">
        <f aca="false">IF(N$5="A",0,M438)</f>
        <v>0</v>
      </c>
      <c r="O439" s="71" t="n">
        <f aca="false">IF(O$5="A",0,N438)</f>
        <v>0</v>
      </c>
      <c r="P439" s="71" t="n">
        <f aca="false">IF(P$5="A",0,O438)</f>
        <v>0</v>
      </c>
      <c r="Q439" s="71" t="n">
        <f aca="false">IF(Q$5="A",0,P438)</f>
        <v>0</v>
      </c>
      <c r="R439" s="71" t="n">
        <f aca="false">IF(R$5="A",0,Q438)</f>
        <v>32726.5303813953</v>
      </c>
      <c r="S439" s="71" t="n">
        <f aca="false">IF(S$5="A",0,R438)</f>
        <v>33749.234455814</v>
      </c>
      <c r="T439" s="71" t="n">
        <f aca="false">IF(T$5="A",0,S438)</f>
        <v>36203.7242344186</v>
      </c>
      <c r="U439" s="71" t="n">
        <f aca="false">IF(U$5="A",0,T438)</f>
        <v>37840.0507534884</v>
      </c>
      <c r="V439" s="71" t="n">
        <f aca="false">IF(V$5="A",0,U438)</f>
        <v>28840.2548986047</v>
      </c>
      <c r="W439" s="71" t="n">
        <f aca="false">IF(W$5="A",0,V438)</f>
        <v>39067.2956427907</v>
      </c>
      <c r="X439" s="71" t="n">
        <f aca="false">IF(X$5="A",0,W438)</f>
        <v>37840.0507534884</v>
      </c>
      <c r="Y439" s="71" t="n">
        <f aca="false">IF(Y$5="A",0,X438)</f>
        <v>0</v>
      </c>
      <c r="Z439" s="71" t="n">
        <f aca="false">IF(Z$5="A",0,Y438)</f>
        <v>0</v>
      </c>
      <c r="AA439" s="71" t="n">
        <f aca="false">IF(AA$5="A",0,Z438)</f>
        <v>0</v>
      </c>
      <c r="AB439" s="71" t="n">
        <f aca="false">IF(AB$5="A",0,AA438)</f>
        <v>0</v>
      </c>
    </row>
    <row r="440" customFormat="false" ht="15" hidden="false" customHeight="false" outlineLevel="0" collapsed="false">
      <c r="A440" s="29" t="s">
        <v>840</v>
      </c>
      <c r="B440" s="60"/>
      <c r="C440" s="61" t="n">
        <f aca="false">P440</f>
        <v>0</v>
      </c>
      <c r="D440" s="61" t="n">
        <f aca="false">AB440</f>
        <v>246267.14112</v>
      </c>
      <c r="E440" s="62" t="n">
        <f aca="false">Engagement_Register!$V$33+E439</f>
        <v>0</v>
      </c>
      <c r="F440" s="71" t="n">
        <f aca="false">E440+F439</f>
        <v>0</v>
      </c>
      <c r="G440" s="71" t="n">
        <f aca="false">F440+G439</f>
        <v>0</v>
      </c>
      <c r="H440" s="71" t="n">
        <f aca="false">G440+H439</f>
        <v>0</v>
      </c>
      <c r="I440" s="71" t="n">
        <f aca="false">H440+I439</f>
        <v>0</v>
      </c>
      <c r="J440" s="71" t="n">
        <f aca="false">I440+J439</f>
        <v>0</v>
      </c>
      <c r="K440" s="71" t="n">
        <f aca="false">J440+K439</f>
        <v>0</v>
      </c>
      <c r="L440" s="71" t="n">
        <f aca="false">K440+L439</f>
        <v>0</v>
      </c>
      <c r="M440" s="71" t="n">
        <f aca="false">L440+M439</f>
        <v>0</v>
      </c>
      <c r="N440" s="71" t="n">
        <f aca="false">M440+N439</f>
        <v>0</v>
      </c>
      <c r="O440" s="71" t="n">
        <f aca="false">N440+O439</f>
        <v>0</v>
      </c>
      <c r="P440" s="71" t="n">
        <f aca="false">O440+P439</f>
        <v>0</v>
      </c>
      <c r="Q440" s="71" t="n">
        <f aca="false">P440+Q439</f>
        <v>0</v>
      </c>
      <c r="R440" s="71" t="n">
        <f aca="false">Q440+R439</f>
        <v>32726.5303813953</v>
      </c>
      <c r="S440" s="71" t="n">
        <f aca="false">R440+S439</f>
        <v>66475.7648372093</v>
      </c>
      <c r="T440" s="71" t="n">
        <f aca="false">S440+T439</f>
        <v>102679.489071628</v>
      </c>
      <c r="U440" s="71" t="n">
        <f aca="false">T440+U439</f>
        <v>140519.539825116</v>
      </c>
      <c r="V440" s="71" t="n">
        <f aca="false">U440+V439</f>
        <v>169359.794723721</v>
      </c>
      <c r="W440" s="71" t="n">
        <f aca="false">V440+W439</f>
        <v>208427.090366512</v>
      </c>
      <c r="X440" s="71" t="n">
        <f aca="false">W440+X439</f>
        <v>246267.14112</v>
      </c>
      <c r="Y440" s="71" t="n">
        <f aca="false">X440+Y439</f>
        <v>246267.14112</v>
      </c>
      <c r="Z440" s="71" t="n">
        <f aca="false">Y440+Z439</f>
        <v>246267.14112</v>
      </c>
      <c r="AA440" s="71" t="n">
        <f aca="false">Z440+AA439</f>
        <v>246267.14112</v>
      </c>
      <c r="AB440" s="71" t="n">
        <f aca="false">AA440+AB439</f>
        <v>246267.14112</v>
      </c>
    </row>
    <row r="441" customFormat="false" ht="15" hidden="false" customHeight="false" outlineLevel="0" collapsed="false">
      <c r="A441" s="29" t="s">
        <v>841</v>
      </c>
      <c r="B441" s="60" t="s">
        <v>842</v>
      </c>
      <c r="C441" s="61" t="n">
        <f aca="false">SUM(E441:P441)</f>
        <v>0</v>
      </c>
      <c r="D441" s="61" t="n">
        <f aca="false">SUM(Q441:AB441)</f>
        <v>27192</v>
      </c>
      <c r="E441" s="62" t="n">
        <f aca="false">IF(E$5="A",0,E35*Engagement_Register!$N$33*Assumptions!E$195)</f>
        <v>0</v>
      </c>
      <c r="F441" s="62" t="n">
        <f aca="false">IF(F$5="A",0,F35*Engagement_Register!$N$33*Assumptions!F$195)</f>
        <v>0</v>
      </c>
      <c r="G441" s="62" t="n">
        <f aca="false">IF(G$5="A",0,G35*Engagement_Register!$N$33*Assumptions!G$195)</f>
        <v>0</v>
      </c>
      <c r="H441" s="62" t="n">
        <f aca="false">IF(H$5="A",0,H35*Engagement_Register!$N$33*Assumptions!H$195)</f>
        <v>0</v>
      </c>
      <c r="I441" s="62" t="n">
        <f aca="false">IF(I$5="A",0,I35*Engagement_Register!$N$33*Assumptions!I$195)</f>
        <v>0</v>
      </c>
      <c r="J441" s="62" t="n">
        <f aca="false">IF(J$5="A",0,J35*Engagement_Register!$N$33*Assumptions!J$195)</f>
        <v>0</v>
      </c>
      <c r="K441" s="62" t="n">
        <f aca="false">IF(K$5="A",0,K35*Engagement_Register!$N$33*Assumptions!K$195)</f>
        <v>0</v>
      </c>
      <c r="L441" s="62" t="n">
        <f aca="false">IF(L$5="A",0,L35*Engagement_Register!$N$33*Assumptions!L$195)</f>
        <v>0</v>
      </c>
      <c r="M441" s="62" t="n">
        <f aca="false">IF(M$5="A",0,M35*Engagement_Register!$N$33*Assumptions!M$195)</f>
        <v>0</v>
      </c>
      <c r="N441" s="62" t="n">
        <f aca="false">IF(N$5="A",0,N35*Engagement_Register!$N$33*Assumptions!N$195)</f>
        <v>0</v>
      </c>
      <c r="O441" s="62" t="n">
        <f aca="false">IF(O$5="A",0,O35*Engagement_Register!$N$33*Assumptions!O$195)</f>
        <v>0</v>
      </c>
      <c r="P441" s="62" t="n">
        <f aca="false">IF(P$5="A",0,P35*Engagement_Register!$N$33*Assumptions!P$195)</f>
        <v>0</v>
      </c>
      <c r="Q441" s="62" t="n">
        <f aca="false">IF(Q$5="A",0,Q35*Engagement_Register!$N$33*Assumptions!Q$195)</f>
        <v>3613.55481727575</v>
      </c>
      <c r="R441" s="62" t="n">
        <f aca="false">IF(R$5="A",0,R35*Engagement_Register!$N$33*Assumptions!R$195)</f>
        <v>3726.47840531561</v>
      </c>
      <c r="S441" s="62" t="n">
        <f aca="false">IF(S$5="A",0,S35*Engagement_Register!$N$33*Assumptions!S$195)</f>
        <v>3997.4950166113</v>
      </c>
      <c r="T441" s="62" t="n">
        <f aca="false">IF(T$5="A",0,T35*Engagement_Register!$N$33*Assumptions!T$195)</f>
        <v>4178.17275747508</v>
      </c>
      <c r="U441" s="62" t="n">
        <f aca="false">IF(U$5="A",0,U35*Engagement_Register!$N$33*Assumptions!U$195)</f>
        <v>3184.44518272425</v>
      </c>
      <c r="V441" s="62" t="n">
        <f aca="false">IF(V$5="A",0,V35*Engagement_Register!$N$33*Assumptions!V$195)</f>
        <v>4313.68106312293</v>
      </c>
      <c r="W441" s="62" t="n">
        <f aca="false">IF(W$5="A",0,W35*Engagement_Register!$N$33*Assumptions!W$195)</f>
        <v>4178.17275747508</v>
      </c>
      <c r="X441" s="62" t="n">
        <f aca="false">IF(X$5="A",0,X35*Engagement_Register!$N$33*Assumptions!X$195)</f>
        <v>0</v>
      </c>
      <c r="Y441" s="62" t="n">
        <f aca="false">IF(Y$5="A",0,Y35*Engagement_Register!$N$33*Assumptions!Y$195)</f>
        <v>0</v>
      </c>
      <c r="Z441" s="62" t="n">
        <f aca="false">IF(Z$5="A",0,Z35*Engagement_Register!$N$33*Assumptions!Z$195)</f>
        <v>0</v>
      </c>
      <c r="AA441" s="62" t="n">
        <f aca="false">IF(AA$5="A",0,AA35*Engagement_Register!$N$33*Assumptions!AA$195)</f>
        <v>0</v>
      </c>
      <c r="AB441" s="62" t="n">
        <f aca="false">IF(AB$5="A",0,AB35*Engagement_Register!$N$33*Assumptions!AB$195)</f>
        <v>0</v>
      </c>
    </row>
    <row r="442" customFormat="false" ht="15" hidden="false" customHeight="false" outlineLevel="0" collapsed="false">
      <c r="A442" s="29" t="s">
        <v>843</v>
      </c>
      <c r="B442" s="60" t="s">
        <v>844</v>
      </c>
      <c r="C442" s="61" t="n">
        <f aca="false">SUM(E442:P442)</f>
        <v>0</v>
      </c>
      <c r="D442" s="61" t="n">
        <f aca="false">SUM(Q442:AB442)</f>
        <v>27192</v>
      </c>
      <c r="E442" s="71" t="n">
        <f aca="false">E441</f>
        <v>0</v>
      </c>
      <c r="F442" s="71" t="n">
        <f aca="false">F441</f>
        <v>0</v>
      </c>
      <c r="G442" s="71" t="n">
        <f aca="false">G441</f>
        <v>0</v>
      </c>
      <c r="H442" s="71" t="n">
        <f aca="false">H441</f>
        <v>0</v>
      </c>
      <c r="I442" s="71" t="n">
        <f aca="false">I441</f>
        <v>0</v>
      </c>
      <c r="J442" s="71" t="n">
        <f aca="false">J441</f>
        <v>0</v>
      </c>
      <c r="K442" s="71" t="n">
        <f aca="false">K441</f>
        <v>0</v>
      </c>
      <c r="L442" s="71" t="n">
        <f aca="false">L441</f>
        <v>0</v>
      </c>
      <c r="M442" s="71" t="n">
        <f aca="false">M441</f>
        <v>0</v>
      </c>
      <c r="N442" s="71" t="n">
        <f aca="false">N441</f>
        <v>0</v>
      </c>
      <c r="O442" s="71" t="n">
        <f aca="false">O441</f>
        <v>0</v>
      </c>
      <c r="P442" s="71" t="n">
        <f aca="false">P441</f>
        <v>0</v>
      </c>
      <c r="Q442" s="71" t="n">
        <f aca="false">Q441</f>
        <v>3613.55481727575</v>
      </c>
      <c r="R442" s="71" t="n">
        <f aca="false">R441</f>
        <v>3726.47840531561</v>
      </c>
      <c r="S442" s="71" t="n">
        <f aca="false">S441</f>
        <v>3997.4950166113</v>
      </c>
      <c r="T442" s="71" t="n">
        <f aca="false">T441</f>
        <v>4178.17275747508</v>
      </c>
      <c r="U442" s="71" t="n">
        <f aca="false">U441</f>
        <v>3184.44518272425</v>
      </c>
      <c r="V442" s="71" t="n">
        <f aca="false">V441</f>
        <v>4313.68106312293</v>
      </c>
      <c r="W442" s="71" t="n">
        <f aca="false">W441</f>
        <v>4178.17275747508</v>
      </c>
      <c r="X442" s="71" t="n">
        <f aca="false">X441</f>
        <v>0</v>
      </c>
      <c r="Y442" s="71" t="n">
        <f aca="false">Y441</f>
        <v>0</v>
      </c>
      <c r="Z442" s="71" t="n">
        <f aca="false">Z441</f>
        <v>0</v>
      </c>
      <c r="AA442" s="71" t="n">
        <f aca="false">AA441</f>
        <v>0</v>
      </c>
      <c r="AB442" s="71" t="n">
        <f aca="false">AB441</f>
        <v>0</v>
      </c>
    </row>
    <row r="443" customFormat="false" ht="15" hidden="false" customHeight="false" outlineLevel="0" collapsed="false">
      <c r="A443" s="29" t="s">
        <v>845</v>
      </c>
      <c r="B443" s="60" t="s">
        <v>846</v>
      </c>
      <c r="C443" s="61" t="n">
        <f aca="false">SUM(E443:P443)</f>
        <v>0</v>
      </c>
      <c r="D443" s="61" t="n">
        <f aca="false">SUM(Q443:AB443)</f>
        <v>27192</v>
      </c>
      <c r="E443" s="71" t="n">
        <f aca="false">IF(E$5="A",0,0)</f>
        <v>0</v>
      </c>
      <c r="F443" s="71" t="n">
        <f aca="false">IF(F$5="A",0,E442)</f>
        <v>0</v>
      </c>
      <c r="G443" s="71" t="n">
        <f aca="false">IF(G$5="A",0,F442)</f>
        <v>0</v>
      </c>
      <c r="H443" s="71" t="n">
        <f aca="false">IF(H$5="A",0,G442)</f>
        <v>0</v>
      </c>
      <c r="I443" s="71" t="n">
        <f aca="false">IF(I$5="A",0,H442)</f>
        <v>0</v>
      </c>
      <c r="J443" s="71" t="n">
        <f aca="false">IF(J$5="A",0,I442)</f>
        <v>0</v>
      </c>
      <c r="K443" s="71" t="n">
        <f aca="false">IF(K$5="A",0,J442)</f>
        <v>0</v>
      </c>
      <c r="L443" s="71" t="n">
        <f aca="false">IF(L$5="A",0,K442)</f>
        <v>0</v>
      </c>
      <c r="M443" s="71" t="n">
        <f aca="false">IF(M$5="A",0,L442)</f>
        <v>0</v>
      </c>
      <c r="N443" s="71" t="n">
        <f aca="false">IF(N$5="A",0,M442)</f>
        <v>0</v>
      </c>
      <c r="O443" s="71" t="n">
        <f aca="false">IF(O$5="A",0,N442)</f>
        <v>0</v>
      </c>
      <c r="P443" s="71" t="n">
        <f aca="false">IF(P$5="A",0,O442)</f>
        <v>0</v>
      </c>
      <c r="Q443" s="71" t="n">
        <f aca="false">IF(Q$5="A",0,P442)</f>
        <v>0</v>
      </c>
      <c r="R443" s="71" t="n">
        <f aca="false">IF(R$5="A",0,Q442)</f>
        <v>3613.55481727575</v>
      </c>
      <c r="S443" s="71" t="n">
        <f aca="false">IF(S$5="A",0,R442)</f>
        <v>3726.47840531561</v>
      </c>
      <c r="T443" s="71" t="n">
        <f aca="false">IF(T$5="A",0,S442)</f>
        <v>3997.4950166113</v>
      </c>
      <c r="U443" s="71" t="n">
        <f aca="false">IF(U$5="A",0,T442)</f>
        <v>4178.17275747508</v>
      </c>
      <c r="V443" s="71" t="n">
        <f aca="false">IF(V$5="A",0,U442)</f>
        <v>3184.44518272425</v>
      </c>
      <c r="W443" s="71" t="n">
        <f aca="false">IF(W$5="A",0,V442)</f>
        <v>4313.68106312293</v>
      </c>
      <c r="X443" s="71" t="n">
        <f aca="false">IF(X$5="A",0,W442)</f>
        <v>4178.17275747508</v>
      </c>
      <c r="Y443" s="71" t="n">
        <f aca="false">IF(Y$5="A",0,X442)</f>
        <v>0</v>
      </c>
      <c r="Z443" s="71" t="n">
        <f aca="false">IF(Z$5="A",0,Y442)</f>
        <v>0</v>
      </c>
      <c r="AA443" s="71" t="n">
        <f aca="false">IF(AA$5="A",0,Z442)</f>
        <v>0</v>
      </c>
      <c r="AB443" s="71" t="n">
        <f aca="false">IF(AB$5="A",0,AA442)</f>
        <v>0</v>
      </c>
    </row>
    <row r="444" customFormat="false" ht="15" hidden="false" customHeight="false" outlineLevel="0" collapsed="false">
      <c r="A444" s="29" t="s">
        <v>847</v>
      </c>
      <c r="B444" s="60" t="s">
        <v>848</v>
      </c>
      <c r="C444" s="61" t="n">
        <f aca="false">P444</f>
        <v>0</v>
      </c>
      <c r="D444" s="61" t="n">
        <f aca="false">AB444</f>
        <v>0</v>
      </c>
      <c r="E444" s="62" t="n">
        <f aca="false">Engagement_Register!$X$33+E438+E442-E443-E439</f>
        <v>0</v>
      </c>
      <c r="F444" s="71" t="n">
        <f aca="false">E444+F438+F442-F443-F439</f>
        <v>0</v>
      </c>
      <c r="G444" s="71" t="n">
        <f aca="false">F444+G438+G442-G443-G439</f>
        <v>0</v>
      </c>
      <c r="H444" s="71" t="n">
        <f aca="false">G444+H438+H442-H443-H439</f>
        <v>0</v>
      </c>
      <c r="I444" s="71" t="n">
        <f aca="false">H444+I438+I442-I443-I439</f>
        <v>0</v>
      </c>
      <c r="J444" s="71" t="n">
        <f aca="false">I444+J438+J442-J443-J439</f>
        <v>0</v>
      </c>
      <c r="K444" s="71" t="n">
        <f aca="false">J444+K438+K442-K443-K439</f>
        <v>0</v>
      </c>
      <c r="L444" s="71" t="n">
        <f aca="false">K444+L438+L442-L443-L439</f>
        <v>0</v>
      </c>
      <c r="M444" s="71" t="n">
        <f aca="false">L444+M438+M442-M443-M439</f>
        <v>0</v>
      </c>
      <c r="N444" s="71" t="n">
        <f aca="false">M444+N438+N442-N443-N439</f>
        <v>0</v>
      </c>
      <c r="O444" s="71" t="n">
        <f aca="false">N444+O438+O442-O443-O439</f>
        <v>0</v>
      </c>
      <c r="P444" s="71" t="n">
        <f aca="false">O444+P438+P442-P443-P439</f>
        <v>0</v>
      </c>
      <c r="Q444" s="71" t="n">
        <f aca="false">P444+Q438+Q442-Q443-Q439</f>
        <v>36340.0851986711</v>
      </c>
      <c r="R444" s="71" t="n">
        <f aca="false">Q444+R438+R442-R443-R439</f>
        <v>37475.7128611296</v>
      </c>
      <c r="S444" s="71" t="n">
        <f aca="false">R444+S438+S442-S443-S439</f>
        <v>40201.2192510299</v>
      </c>
      <c r="T444" s="71" t="n">
        <f aca="false">S444+T438+T442-T443-T439</f>
        <v>42018.2235109635</v>
      </c>
      <c r="U444" s="71" t="n">
        <f aca="false">T444+U438+U442-U443-U439</f>
        <v>32024.7000813289</v>
      </c>
      <c r="V444" s="71" t="n">
        <f aca="false">U444+V438+V442-V443-V439</f>
        <v>43380.9767059136</v>
      </c>
      <c r="W444" s="71" t="n">
        <f aca="false">V444+W438+W442-W443-W439</f>
        <v>42018.2235109635</v>
      </c>
      <c r="X444" s="71" t="n">
        <f aca="false">W444+X438+X442-X443-X439</f>
        <v>0</v>
      </c>
      <c r="Y444" s="71" t="n">
        <f aca="false">X444+Y438+Y442-Y443-Y439</f>
        <v>0</v>
      </c>
      <c r="Z444" s="71" t="n">
        <f aca="false">Y444+Z438+Z442-Z443-Z439</f>
        <v>0</v>
      </c>
      <c r="AA444" s="71" t="n">
        <f aca="false">Z444+AA438+AA442-AA443-AA439</f>
        <v>0</v>
      </c>
      <c r="AB444" s="71" t="n">
        <f aca="false">AA444+AB438+AB442-AB443-AB439</f>
        <v>0</v>
      </c>
    </row>
    <row r="445" customFormat="false" ht="15" hidden="false" customHeight="false" outlineLevel="0" collapsed="false">
      <c r="A445" s="29" t="s">
        <v>890</v>
      </c>
      <c r="B445" s="60" t="s">
        <v>850</v>
      </c>
      <c r="C445" s="61" t="n">
        <f aca="false">P445</f>
        <v>236795.328</v>
      </c>
      <c r="D445" s="61" t="n">
        <f aca="false">AB445</f>
        <v>0</v>
      </c>
      <c r="E445" s="62" t="n">
        <f aca="false">MAX(0,Engagement_Register!$AM$33-E435)*Engagement_Register!$AE$33*Assumptions!E$194*(1-Engagement_Register!$AS$33)</f>
        <v>236795.328</v>
      </c>
      <c r="F445" s="62" t="n">
        <f aca="false">MAX(0,Engagement_Register!$AM$33-F435)*Engagement_Register!$AE$33*Assumptions!F$194*(1-Engagement_Register!$AS$33)</f>
        <v>236795.328</v>
      </c>
      <c r="G445" s="62" t="n">
        <f aca="false">MAX(0,Engagement_Register!$AM$33-G435)*Engagement_Register!$AE$33*Assumptions!G$194*(1-Engagement_Register!$AS$33)</f>
        <v>236795.328</v>
      </c>
      <c r="H445" s="62" t="n">
        <f aca="false">MAX(0,Engagement_Register!$AM$33-H435)*Engagement_Register!$AE$33*Assumptions!H$194*(1-Engagement_Register!$AS$33)</f>
        <v>236795.328</v>
      </c>
      <c r="I445" s="62" t="n">
        <f aca="false">MAX(0,Engagement_Register!$AM$33-I435)*Engagement_Register!$AE$33*Assumptions!I$194*(1-Engagement_Register!$AS$33)</f>
        <v>236795.328</v>
      </c>
      <c r="J445" s="62" t="n">
        <f aca="false">MAX(0,Engagement_Register!$AM$33-J435)*Engagement_Register!$AE$33*Assumptions!J$194*(1-Engagement_Register!$AS$33)</f>
        <v>236795.328</v>
      </c>
      <c r="K445" s="62" t="n">
        <f aca="false">MAX(0,Engagement_Register!$AM$33-K435)*Engagement_Register!$AE$33*Assumptions!K$194*(1-Engagement_Register!$AS$33)</f>
        <v>236795.328</v>
      </c>
      <c r="L445" s="62" t="n">
        <f aca="false">MAX(0,Engagement_Register!$AM$33-L435)*Engagement_Register!$AE$33*Assumptions!L$194*(1-Engagement_Register!$AS$33)</f>
        <v>236795.328</v>
      </c>
      <c r="M445" s="62" t="n">
        <f aca="false">MAX(0,Engagement_Register!$AM$33-M435)*Engagement_Register!$AE$33*Assumptions!M$194*(1-Engagement_Register!$AS$33)</f>
        <v>236795.328</v>
      </c>
      <c r="N445" s="62" t="n">
        <f aca="false">MAX(0,Engagement_Register!$AM$33-N435)*Engagement_Register!$AE$33*Assumptions!N$194*(1-Engagement_Register!$AS$33)</f>
        <v>236795.328</v>
      </c>
      <c r="O445" s="62" t="n">
        <f aca="false">MAX(0,Engagement_Register!$AM$33-O435)*Engagement_Register!$AE$33*Assumptions!O$194*(1-Engagement_Register!$AS$33)</f>
        <v>236795.328</v>
      </c>
      <c r="P445" s="62" t="n">
        <f aca="false">MAX(0,Engagement_Register!$AM$33-P435)*Engagement_Register!$AE$33*Assumptions!P$194*(1-Engagement_Register!$AS$33)</f>
        <v>236795.328</v>
      </c>
      <c r="Q445" s="62" t="n">
        <f aca="false">MAX(0,Engagement_Register!$AM$33-Q435)*Engagement_Register!$AE$33*Assumptions!Q$194*(1-Engagement_Register!$AS$33)</f>
        <v>213540.610738605</v>
      </c>
      <c r="R445" s="62" t="n">
        <f aca="false">MAX(0,Engagement_Register!$AM$33-R435)*Engagement_Register!$AE$33*Assumptions!R$194*(1-Engagement_Register!$AS$33)</f>
        <v>179791.376282791</v>
      </c>
      <c r="S445" s="62" t="n">
        <f aca="false">MAX(0,Engagement_Register!$AM$33-S435)*Engagement_Register!$AE$33*Assumptions!S$194*(1-Engagement_Register!$AS$33)</f>
        <v>143587.652048372</v>
      </c>
      <c r="T445" s="62" t="n">
        <f aca="false">MAX(0,Engagement_Register!$AM$33-T435)*Engagement_Register!$AE$33*Assumptions!T$194*(1-Engagement_Register!$AS$33)</f>
        <v>105747.601294884</v>
      </c>
      <c r="U445" s="62" t="n">
        <f aca="false">MAX(0,Engagement_Register!$AM$33-U435)*Engagement_Register!$AE$33*Assumptions!U$194*(1-Engagement_Register!$AS$33)</f>
        <v>76907.3463962791</v>
      </c>
      <c r="V445" s="62" t="n">
        <f aca="false">MAX(0,Engagement_Register!$AM$33-V435)*Engagement_Register!$AE$33*Assumptions!V$194*(1-Engagement_Register!$AS$33)</f>
        <v>37840.0507534884</v>
      </c>
      <c r="W445" s="62" t="n">
        <f aca="false">MAX(0,Engagement_Register!$AM$33-W435)*Engagement_Register!$AE$33*Assumptions!W$194*(1-Engagement_Register!$AS$33)</f>
        <v>0</v>
      </c>
      <c r="X445" s="62" t="n">
        <f aca="false">MAX(0,Engagement_Register!$AM$33-X435)*Engagement_Register!$AE$33*Assumptions!X$194*(1-Engagement_Register!$AS$33)</f>
        <v>0</v>
      </c>
      <c r="Y445" s="62" t="n">
        <f aca="false">MAX(0,Engagement_Register!$AM$33-Y435)*Engagement_Register!$AE$33*Assumptions!Y$194*(1-Engagement_Register!$AS$33)</f>
        <v>0</v>
      </c>
      <c r="Z445" s="62" t="n">
        <f aca="false">MAX(0,Engagement_Register!$AM$33-Z435)*Engagement_Register!$AE$33*Assumptions!Z$194*(1-Engagement_Register!$AS$33)</f>
        <v>0</v>
      </c>
      <c r="AA445" s="62" t="n">
        <f aca="false">MAX(0,Engagement_Register!$AM$33-AA435)*Engagement_Register!$AE$33*Assumptions!AA$194*(1-Engagement_Register!$AS$33)</f>
        <v>0</v>
      </c>
      <c r="AB445" s="62" t="n">
        <f aca="false">MAX(0,Engagement_Register!$AM$33-AB435)*Engagement_Register!$AE$33*Assumptions!AB$194*(1-Engagement_Register!$AS$33)</f>
        <v>0</v>
      </c>
    </row>
    <row r="447" customFormat="false" ht="15" hidden="false" customHeight="false" outlineLevel="0" collapsed="false">
      <c r="A447" s="23" t="s">
        <v>894</v>
      </c>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row>
    <row r="448" customFormat="false" ht="15" hidden="false" customHeight="false" outlineLevel="0" collapsed="false">
      <c r="A448" s="29" t="s">
        <v>736</v>
      </c>
      <c r="B448" s="60" t="s">
        <v>832</v>
      </c>
      <c r="C448" s="66" t="n">
        <f aca="false">P448</f>
        <v>0</v>
      </c>
      <c r="D448" s="66" t="n">
        <f aca="false">AB448</f>
        <v>310.8</v>
      </c>
      <c r="E448" s="67" t="n">
        <f aca="false">Engagement_Register!$T$34+E36</f>
        <v>0</v>
      </c>
      <c r="F448" s="72" t="n">
        <f aca="false">E448+F36</f>
        <v>0</v>
      </c>
      <c r="G448" s="72" t="n">
        <f aca="false">F448+G36</f>
        <v>0</v>
      </c>
      <c r="H448" s="72" t="n">
        <f aca="false">G448+H36</f>
        <v>0</v>
      </c>
      <c r="I448" s="72" t="n">
        <f aca="false">H448+I36</f>
        <v>0</v>
      </c>
      <c r="J448" s="72" t="n">
        <f aca="false">I448+J36</f>
        <v>0</v>
      </c>
      <c r="K448" s="72" t="n">
        <f aca="false">J448+K36</f>
        <v>0</v>
      </c>
      <c r="L448" s="72" t="n">
        <f aca="false">K448+L36</f>
        <v>0</v>
      </c>
      <c r="M448" s="72" t="n">
        <f aca="false">L448+M36</f>
        <v>0</v>
      </c>
      <c r="N448" s="72" t="n">
        <f aca="false">M448+N36</f>
        <v>0</v>
      </c>
      <c r="O448" s="72" t="n">
        <f aca="false">N448+O36</f>
        <v>0</v>
      </c>
      <c r="P448" s="72" t="n">
        <f aca="false">O448+P36</f>
        <v>0</v>
      </c>
      <c r="Q448" s="72" t="n">
        <f aca="false">P448+Q36</f>
        <v>0</v>
      </c>
      <c r="R448" s="72" t="n">
        <f aca="false">Q448+R36</f>
        <v>76.7694610778443</v>
      </c>
      <c r="S448" s="72" t="n">
        <f aca="false">R448+S36</f>
        <v>159.122155688623</v>
      </c>
      <c r="T448" s="72" t="n">
        <f aca="false">S448+T36</f>
        <v>245.197005988024</v>
      </c>
      <c r="U448" s="72" t="n">
        <f aca="false">T448+U36</f>
        <v>310.8</v>
      </c>
      <c r="V448" s="72" t="n">
        <f aca="false">U448+V36</f>
        <v>310.8</v>
      </c>
      <c r="W448" s="72" t="n">
        <f aca="false">V448+W36</f>
        <v>310.8</v>
      </c>
      <c r="X448" s="72" t="n">
        <f aca="false">W448+X36</f>
        <v>310.8</v>
      </c>
      <c r="Y448" s="72" t="n">
        <f aca="false">X448+Y36</f>
        <v>310.8</v>
      </c>
      <c r="Z448" s="72" t="n">
        <f aca="false">Y448+Z36</f>
        <v>310.8</v>
      </c>
      <c r="AA448" s="72" t="n">
        <f aca="false">Z448+AA36</f>
        <v>310.8</v>
      </c>
      <c r="AB448" s="72" t="n">
        <f aca="false">AA448+AB36</f>
        <v>310.8</v>
      </c>
    </row>
    <row r="449" customFormat="false" ht="15" hidden="false" customHeight="false" outlineLevel="0" collapsed="false">
      <c r="A449" s="29" t="s">
        <v>852</v>
      </c>
      <c r="B449" s="60" t="s">
        <v>853</v>
      </c>
      <c r="C449" s="66" t="n">
        <f aca="false">P449</f>
        <v>310.8</v>
      </c>
      <c r="D449" s="66" t="n">
        <f aca="false">AB449</f>
        <v>310.8</v>
      </c>
      <c r="E449" s="67" t="n">
        <f aca="false">IF(E$5="A",Engagement_Register!$AM$34,Engagement_Register!$AM$34)</f>
        <v>310.8</v>
      </c>
      <c r="F449" s="67" t="n">
        <f aca="false">IF(F$5="A",Engagement_Register!$AM$34,Engagement_Register!$AM$34)</f>
        <v>310.8</v>
      </c>
      <c r="G449" s="67" t="n">
        <f aca="false">IF(G$5="A",Engagement_Register!$AM$34,Engagement_Register!$AM$34)</f>
        <v>310.8</v>
      </c>
      <c r="H449" s="67" t="n">
        <f aca="false">IF(H$5="A",Engagement_Register!$AM$34,Engagement_Register!$AM$34)</f>
        <v>310.8</v>
      </c>
      <c r="I449" s="67" t="n">
        <f aca="false">IF(I$5="A",Engagement_Register!$AM$34,Engagement_Register!$AM$34)</f>
        <v>310.8</v>
      </c>
      <c r="J449" s="67" t="n">
        <f aca="false">IF(J$5="A",Engagement_Register!$AM$34,Engagement_Register!$AM$34)</f>
        <v>310.8</v>
      </c>
      <c r="K449" s="67" t="n">
        <f aca="false">IF(K$5="A",Engagement_Register!$AM$34,Engagement_Register!$AM$34)</f>
        <v>310.8</v>
      </c>
      <c r="L449" s="67" t="n">
        <f aca="false">IF(L$5="A",Engagement_Register!$AM$34,Engagement_Register!$AM$34)</f>
        <v>310.8</v>
      </c>
      <c r="M449" s="67" t="n">
        <f aca="false">IF(M$5="A",Engagement_Register!$AM$34,Engagement_Register!$AM$34)</f>
        <v>310.8</v>
      </c>
      <c r="N449" s="67" t="n">
        <f aca="false">IF(N$5="A",Engagement_Register!$AM$34,Engagement_Register!$AM$34)</f>
        <v>310.8</v>
      </c>
      <c r="O449" s="67" t="n">
        <f aca="false">IF(O$5="A",Engagement_Register!$AM$34,Engagement_Register!$AM$34)</f>
        <v>310.8</v>
      </c>
      <c r="P449" s="67" t="n">
        <f aca="false">IF(P$5="A",Engagement_Register!$AM$34,Engagement_Register!$AM$34)</f>
        <v>310.8</v>
      </c>
      <c r="Q449" s="67" t="n">
        <f aca="false">IF(Q$5="A",Engagement_Register!$AM$34,Engagement_Register!$AM$34)</f>
        <v>310.8</v>
      </c>
      <c r="R449" s="67" t="n">
        <f aca="false">IF(R$5="A",Engagement_Register!$AM$34,Engagement_Register!$AM$34)</f>
        <v>310.8</v>
      </c>
      <c r="S449" s="67" t="n">
        <f aca="false">IF(S$5="A",Engagement_Register!$AM$34,Engagement_Register!$AM$34)</f>
        <v>310.8</v>
      </c>
      <c r="T449" s="67" t="n">
        <f aca="false">IF(T$5="A",Engagement_Register!$AM$34,Engagement_Register!$AM$34)</f>
        <v>310.8</v>
      </c>
      <c r="U449" s="67" t="n">
        <f aca="false">IF(U$5="A",Engagement_Register!$AM$34,Engagement_Register!$AM$34)</f>
        <v>310.8</v>
      </c>
      <c r="V449" s="67" t="n">
        <f aca="false">IF(V$5="A",Engagement_Register!$AM$34,Engagement_Register!$AM$34)</f>
        <v>310.8</v>
      </c>
      <c r="W449" s="67" t="n">
        <f aca="false">IF(W$5="A",Engagement_Register!$AM$34,Engagement_Register!$AM$34)</f>
        <v>310.8</v>
      </c>
      <c r="X449" s="67" t="n">
        <f aca="false">IF(X$5="A",Engagement_Register!$AM$34,Engagement_Register!$AM$34)</f>
        <v>310.8</v>
      </c>
      <c r="Y449" s="67" t="n">
        <f aca="false">IF(Y$5="A",Engagement_Register!$AM$34,Engagement_Register!$AM$34)</f>
        <v>310.8</v>
      </c>
      <c r="Z449" s="67" t="n">
        <f aca="false">IF(Z$5="A",Engagement_Register!$AM$34,Engagement_Register!$AM$34)</f>
        <v>310.8</v>
      </c>
      <c r="AA449" s="67" t="n">
        <f aca="false">IF(AA$5="A",Engagement_Register!$AM$34,Engagement_Register!$AM$34)</f>
        <v>310.8</v>
      </c>
      <c r="AB449" s="67" t="n">
        <f aca="false">IF(AB$5="A",Engagement_Register!$AM$34,Engagement_Register!$AM$34)</f>
        <v>310.8</v>
      </c>
    </row>
    <row r="450" customFormat="false" ht="15" hidden="false" customHeight="false" outlineLevel="0" collapsed="false">
      <c r="A450" s="29" t="s">
        <v>854</v>
      </c>
      <c r="B450" s="60" t="s">
        <v>855</v>
      </c>
      <c r="C450" s="63" t="n">
        <f aca="false">P450</f>
        <v>0</v>
      </c>
      <c r="D450" s="63" t="n">
        <f aca="false">AB450</f>
        <v>1</v>
      </c>
      <c r="E450" s="64" t="n">
        <f aca="false">IF(E449&lt;=0,0,MIN(1,E448/E449))</f>
        <v>0</v>
      </c>
      <c r="F450" s="64" t="n">
        <f aca="false">IF(F449&lt;=0,0,MIN(1,F448/F449))</f>
        <v>0</v>
      </c>
      <c r="G450" s="64" t="n">
        <f aca="false">IF(G449&lt;=0,0,MIN(1,G448/G449))</f>
        <v>0</v>
      </c>
      <c r="H450" s="64" t="n">
        <f aca="false">IF(H449&lt;=0,0,MIN(1,H448/H449))</f>
        <v>0</v>
      </c>
      <c r="I450" s="64" t="n">
        <f aca="false">IF(I449&lt;=0,0,MIN(1,I448/I449))</f>
        <v>0</v>
      </c>
      <c r="J450" s="64" t="n">
        <f aca="false">IF(J449&lt;=0,0,MIN(1,J448/J449))</f>
        <v>0</v>
      </c>
      <c r="K450" s="64" t="n">
        <f aca="false">IF(K449&lt;=0,0,MIN(1,K448/K449))</f>
        <v>0</v>
      </c>
      <c r="L450" s="64" t="n">
        <f aca="false">IF(L449&lt;=0,0,MIN(1,L448/L449))</f>
        <v>0</v>
      </c>
      <c r="M450" s="64" t="n">
        <f aca="false">IF(M449&lt;=0,0,MIN(1,M448/M449))</f>
        <v>0</v>
      </c>
      <c r="N450" s="64" t="n">
        <f aca="false">IF(N449&lt;=0,0,MIN(1,N448/N449))</f>
        <v>0</v>
      </c>
      <c r="O450" s="64" t="n">
        <f aca="false">IF(O449&lt;=0,0,MIN(1,O448/O449))</f>
        <v>0</v>
      </c>
      <c r="P450" s="64" t="n">
        <f aca="false">IF(P449&lt;=0,0,MIN(1,P448/P449))</f>
        <v>0</v>
      </c>
      <c r="Q450" s="64" t="n">
        <f aca="false">IF(Q449&lt;=0,0,MIN(1,Q448/Q449))</f>
        <v>0</v>
      </c>
      <c r="R450" s="64" t="n">
        <f aca="false">IF(R449&lt;=0,0,MIN(1,R448/R449))</f>
        <v>0.247005988023952</v>
      </c>
      <c r="S450" s="64" t="n">
        <f aca="false">IF(S449&lt;=0,0,MIN(1,S448/S449))</f>
        <v>0.511976047904192</v>
      </c>
      <c r="T450" s="64" t="n">
        <f aca="false">IF(T449&lt;=0,0,MIN(1,T448/T449))</f>
        <v>0.788922155688623</v>
      </c>
      <c r="U450" s="64" t="n">
        <f aca="false">IF(U449&lt;=0,0,MIN(1,U448/U449))</f>
        <v>1</v>
      </c>
      <c r="V450" s="64" t="n">
        <f aca="false">IF(V449&lt;=0,0,MIN(1,V448/V449))</f>
        <v>1</v>
      </c>
      <c r="W450" s="64" t="n">
        <f aca="false">IF(W449&lt;=0,0,MIN(1,W448/W449))</f>
        <v>1</v>
      </c>
      <c r="X450" s="64" t="n">
        <f aca="false">IF(X449&lt;=0,0,MIN(1,X448/X449))</f>
        <v>1</v>
      </c>
      <c r="Y450" s="64" t="n">
        <f aca="false">IF(Y449&lt;=0,0,MIN(1,Y448/Y449))</f>
        <v>1</v>
      </c>
      <c r="Z450" s="64" t="n">
        <f aca="false">IF(Z449&lt;=0,0,MIN(1,Z448/Z449))</f>
        <v>1</v>
      </c>
      <c r="AA450" s="64" t="n">
        <f aca="false">IF(AA449&lt;=0,0,MIN(1,AA448/AA449))</f>
        <v>1</v>
      </c>
      <c r="AB450" s="64" t="n">
        <f aca="false">IF(AB449&lt;=0,0,MIN(1,AB448/AB449))</f>
        <v>1</v>
      </c>
    </row>
    <row r="451" customFormat="false" ht="15" hidden="false" customHeight="false" outlineLevel="0" collapsed="false">
      <c r="A451" s="29" t="s">
        <v>833</v>
      </c>
      <c r="B451" s="60" t="s">
        <v>834</v>
      </c>
      <c r="C451" s="61" t="n">
        <f aca="false">SUM(E451:P451)</f>
        <v>0</v>
      </c>
      <c r="D451" s="61" t="n">
        <f aca="false">SUM(Q451:AB451)</f>
        <v>66779.7312</v>
      </c>
      <c r="E451" s="62" t="n">
        <f aca="false">E36*Engagement_Register!$AD$34*Assumptions!E$194</f>
        <v>0</v>
      </c>
      <c r="F451" s="62" t="n">
        <f aca="false">F36*Engagement_Register!$AD$34*Assumptions!F$194</f>
        <v>0</v>
      </c>
      <c r="G451" s="62" t="n">
        <f aca="false">G36*Engagement_Register!$AD$34*Assumptions!G$194</f>
        <v>0</v>
      </c>
      <c r="H451" s="62" t="n">
        <f aca="false">H36*Engagement_Register!$AD$34*Assumptions!H$194</f>
        <v>0</v>
      </c>
      <c r="I451" s="62" t="n">
        <f aca="false">I36*Engagement_Register!$AD$34*Assumptions!I$194</f>
        <v>0</v>
      </c>
      <c r="J451" s="62" t="n">
        <f aca="false">J36*Engagement_Register!$AD$34*Assumptions!J$194</f>
        <v>0</v>
      </c>
      <c r="K451" s="62" t="n">
        <f aca="false">K36*Engagement_Register!$AD$34*Assumptions!K$194</f>
        <v>0</v>
      </c>
      <c r="L451" s="62" t="n">
        <f aca="false">L36*Engagement_Register!$AD$34*Assumptions!L$194</f>
        <v>0</v>
      </c>
      <c r="M451" s="62" t="n">
        <f aca="false">M36*Engagement_Register!$AD$34*Assumptions!M$194</f>
        <v>0</v>
      </c>
      <c r="N451" s="62" t="n">
        <f aca="false">N36*Engagement_Register!$AD$34*Assumptions!N$194</f>
        <v>0</v>
      </c>
      <c r="O451" s="62" t="n">
        <f aca="false">O36*Engagement_Register!$AD$34*Assumptions!O$194</f>
        <v>0</v>
      </c>
      <c r="P451" s="62" t="n">
        <f aca="false">P36*Engagement_Register!$AD$34*Assumptions!P$194</f>
        <v>0</v>
      </c>
      <c r="Q451" s="62" t="n">
        <f aca="false">Q36*Engagement_Register!$AD$34*Assumptions!Q$194</f>
        <v>0</v>
      </c>
      <c r="R451" s="62" t="n">
        <f aca="false">R36*Engagement_Register!$AD$34*Assumptions!R$194</f>
        <v>16494.9934850299</v>
      </c>
      <c r="S451" s="62" t="n">
        <f aca="false">S36*Engagement_Register!$AD$34*Assumptions!S$194</f>
        <v>17694.6293748503</v>
      </c>
      <c r="T451" s="62" t="n">
        <f aca="false">T36*Engagement_Register!$AD$34*Assumptions!T$194</f>
        <v>18494.3866347305</v>
      </c>
      <c r="U451" s="62" t="n">
        <f aca="false">U36*Engagement_Register!$AD$34*Assumptions!U$194</f>
        <v>14095.7217053892</v>
      </c>
      <c r="V451" s="62" t="n">
        <f aca="false">V36*Engagement_Register!$AD$34*Assumptions!V$194</f>
        <v>0</v>
      </c>
      <c r="W451" s="62" t="n">
        <f aca="false">W36*Engagement_Register!$AD$34*Assumptions!W$194</f>
        <v>0</v>
      </c>
      <c r="X451" s="62" t="n">
        <f aca="false">X36*Engagement_Register!$AD$34*Assumptions!X$194</f>
        <v>0</v>
      </c>
      <c r="Y451" s="62" t="n">
        <f aca="false">Y36*Engagement_Register!$AD$34*Assumptions!Y$194</f>
        <v>0</v>
      </c>
      <c r="Z451" s="62" t="n">
        <f aca="false">Z36*Engagement_Register!$AD$34*Assumptions!Z$194</f>
        <v>0</v>
      </c>
      <c r="AA451" s="62" t="n">
        <f aca="false">AA36*Engagement_Register!$AD$34*Assumptions!AA$194</f>
        <v>0</v>
      </c>
      <c r="AB451" s="62" t="n">
        <f aca="false">AB36*Engagement_Register!$AD$34*Assumptions!AB$194</f>
        <v>0</v>
      </c>
    </row>
    <row r="452" customFormat="false" ht="15" hidden="false" customHeight="false" outlineLevel="0" collapsed="false">
      <c r="A452" s="29" t="s">
        <v>835</v>
      </c>
      <c r="B452" s="60" t="s">
        <v>865</v>
      </c>
      <c r="C452" s="61" t="n">
        <f aca="false">SUM(E452:P452)</f>
        <v>0</v>
      </c>
      <c r="D452" s="61" t="n">
        <f aca="false">SUM(Q452:AB452)</f>
        <v>63000</v>
      </c>
      <c r="E452" s="62" t="n">
        <f aca="false">E36*Engagement_Register!$AE$34</f>
        <v>0</v>
      </c>
      <c r="F452" s="62" t="n">
        <f aca="false">F36*Engagement_Register!$AE$34</f>
        <v>0</v>
      </c>
      <c r="G452" s="62" t="n">
        <f aca="false">G36*Engagement_Register!$AE$34</f>
        <v>0</v>
      </c>
      <c r="H452" s="62" t="n">
        <f aca="false">H36*Engagement_Register!$AE$34</f>
        <v>0</v>
      </c>
      <c r="I452" s="62" t="n">
        <f aca="false">I36*Engagement_Register!$AE$34</f>
        <v>0</v>
      </c>
      <c r="J452" s="62" t="n">
        <f aca="false">J36*Engagement_Register!$AE$34</f>
        <v>0</v>
      </c>
      <c r="K452" s="62" t="n">
        <f aca="false">K36*Engagement_Register!$AE$34</f>
        <v>0</v>
      </c>
      <c r="L452" s="62" t="n">
        <f aca="false">L36*Engagement_Register!$AE$34</f>
        <v>0</v>
      </c>
      <c r="M452" s="62" t="n">
        <f aca="false">M36*Engagement_Register!$AE$34</f>
        <v>0</v>
      </c>
      <c r="N452" s="62" t="n">
        <f aca="false">N36*Engagement_Register!$AE$34</f>
        <v>0</v>
      </c>
      <c r="O452" s="62" t="n">
        <f aca="false">O36*Engagement_Register!$AE$34</f>
        <v>0</v>
      </c>
      <c r="P452" s="62" t="n">
        <f aca="false">P36*Engagement_Register!$AE$34</f>
        <v>0</v>
      </c>
      <c r="Q452" s="62" t="n">
        <f aca="false">Q36*Engagement_Register!$AE$34</f>
        <v>0</v>
      </c>
      <c r="R452" s="62" t="n">
        <f aca="false">R36*Engagement_Register!$AE$34</f>
        <v>15561.377245509</v>
      </c>
      <c r="S452" s="62" t="n">
        <f aca="false">S36*Engagement_Register!$AE$34</f>
        <v>16693.1137724551</v>
      </c>
      <c r="T452" s="62" t="n">
        <f aca="false">T36*Engagement_Register!$AE$34</f>
        <v>17447.6047904192</v>
      </c>
      <c r="U452" s="62" t="n">
        <f aca="false">U36*Engagement_Register!$AE$34</f>
        <v>13297.9041916168</v>
      </c>
      <c r="V452" s="62" t="n">
        <f aca="false">V36*Engagement_Register!$AE$34</f>
        <v>0</v>
      </c>
      <c r="W452" s="62" t="n">
        <f aca="false">W36*Engagement_Register!$AE$34</f>
        <v>0</v>
      </c>
      <c r="X452" s="62" t="n">
        <f aca="false">X36*Engagement_Register!$AE$34</f>
        <v>0</v>
      </c>
      <c r="Y452" s="62" t="n">
        <f aca="false">Y36*Engagement_Register!$AE$34</f>
        <v>0</v>
      </c>
      <c r="Z452" s="62" t="n">
        <f aca="false">Z36*Engagement_Register!$AE$34</f>
        <v>0</v>
      </c>
      <c r="AA452" s="62" t="n">
        <f aca="false">AA36*Engagement_Register!$AE$34</f>
        <v>0</v>
      </c>
      <c r="AB452" s="62" t="n">
        <f aca="false">AB36*Engagement_Register!$AE$34</f>
        <v>0</v>
      </c>
    </row>
    <row r="453" customFormat="false" ht="15" hidden="false" customHeight="false" outlineLevel="0" collapsed="false">
      <c r="A453" s="29" t="s">
        <v>742</v>
      </c>
      <c r="B453" s="60" t="s">
        <v>866</v>
      </c>
      <c r="C453" s="61" t="n">
        <f aca="false">P453</f>
        <v>0</v>
      </c>
      <c r="D453" s="61" t="n">
        <f aca="false">AB453</f>
        <v>60000</v>
      </c>
      <c r="E453" s="62" t="n">
        <f aca="false">IF(E$5="A",Engagement_Register!$U$34+0,Engagement_Register!$AP$34*E450)</f>
        <v>0</v>
      </c>
      <c r="F453" s="62" t="n">
        <f aca="false">IF(F$5="A",E453+0,Engagement_Register!$AP$34*F450)</f>
        <v>0</v>
      </c>
      <c r="G453" s="62" t="n">
        <f aca="false">IF(G$5="A",F453+0,Engagement_Register!$AP$34*G450)</f>
        <v>0</v>
      </c>
      <c r="H453" s="62" t="n">
        <f aca="false">IF(H$5="A",G453+0,Engagement_Register!$AP$34*H450)</f>
        <v>0</v>
      </c>
      <c r="I453" s="62" t="n">
        <f aca="false">IF(I$5="A",H453+0,Engagement_Register!$AP$34*I450)</f>
        <v>0</v>
      </c>
      <c r="J453" s="62" t="n">
        <f aca="false">IF(J$5="A",I453+0,Engagement_Register!$AP$34*J450)</f>
        <v>0</v>
      </c>
      <c r="K453" s="62" t="n">
        <f aca="false">IF(K$5="A",J453+0,Engagement_Register!$AP$34*K450)</f>
        <v>0</v>
      </c>
      <c r="L453" s="62" t="n">
        <f aca="false">IF(L$5="A",K453+0,Engagement_Register!$AP$34*L450)</f>
        <v>0</v>
      </c>
      <c r="M453" s="62" t="n">
        <f aca="false">IF(M$5="A",L453+0,Engagement_Register!$AP$34*M450)</f>
        <v>0</v>
      </c>
      <c r="N453" s="62" t="n">
        <f aca="false">IF(N$5="A",M453+0,Engagement_Register!$AP$34*N450)</f>
        <v>0</v>
      </c>
      <c r="O453" s="62" t="n">
        <f aca="false">IF(O$5="A",N453+0,Engagement_Register!$AP$34*O450)</f>
        <v>0</v>
      </c>
      <c r="P453" s="62" t="n">
        <f aca="false">IF(P$5="A",O453+0,Engagement_Register!$AP$34*P450)</f>
        <v>0</v>
      </c>
      <c r="Q453" s="62" t="n">
        <f aca="false">IF(Q$5="A",P453+0,Engagement_Register!$AP$34*Q450)</f>
        <v>0</v>
      </c>
      <c r="R453" s="62" t="n">
        <f aca="false">IF(R$5="A",Q453+0,Engagement_Register!$AP$34*R450)</f>
        <v>14820.3592814371</v>
      </c>
      <c r="S453" s="62" t="n">
        <f aca="false">IF(S$5="A",R453+0,Engagement_Register!$AP$34*S450)</f>
        <v>30718.5628742515</v>
      </c>
      <c r="T453" s="62" t="n">
        <f aca="false">IF(T$5="A",S453+0,Engagement_Register!$AP$34*T450)</f>
        <v>47335.3293413174</v>
      </c>
      <c r="U453" s="62" t="n">
        <f aca="false">IF(U$5="A",T453+0,Engagement_Register!$AP$34*U450)</f>
        <v>60000</v>
      </c>
      <c r="V453" s="62" t="n">
        <f aca="false">IF(V$5="A",U453+0,Engagement_Register!$AP$34*V450)</f>
        <v>60000</v>
      </c>
      <c r="W453" s="62" t="n">
        <f aca="false">IF(W$5="A",V453+0,Engagement_Register!$AP$34*W450)</f>
        <v>60000</v>
      </c>
      <c r="X453" s="62" t="n">
        <f aca="false">IF(X$5="A",W453+0,Engagement_Register!$AP$34*X450)</f>
        <v>60000</v>
      </c>
      <c r="Y453" s="62" t="n">
        <f aca="false">IF(Y$5="A",X453+0,Engagement_Register!$AP$34*Y450)</f>
        <v>60000</v>
      </c>
      <c r="Z453" s="62" t="n">
        <f aca="false">IF(Z$5="A",Y453+0,Engagement_Register!$AP$34*Z450)</f>
        <v>60000</v>
      </c>
      <c r="AA453" s="62" t="n">
        <f aca="false">IF(AA$5="A",Z453+0,Engagement_Register!$AP$34*AA450)</f>
        <v>60000</v>
      </c>
      <c r="AB453" s="62" t="n">
        <f aca="false">IF(AB$5="A",AA453+0,Engagement_Register!$AP$34*AB450)</f>
        <v>60000</v>
      </c>
    </row>
    <row r="454" customFormat="false" ht="15" hidden="false" customHeight="false" outlineLevel="0" collapsed="false">
      <c r="A454" s="68" t="s">
        <v>349</v>
      </c>
      <c r="B454" s="69" t="s">
        <v>859</v>
      </c>
      <c r="C454" s="70" t="n">
        <f aca="false">SUM(E454:P454)</f>
        <v>0</v>
      </c>
      <c r="D454" s="70" t="n">
        <f aca="false">SUM(Q454:AB454)</f>
        <v>60000</v>
      </c>
      <c r="E454" s="74" t="n">
        <f aca="false">E453-Engagement_Register!$U$34</f>
        <v>0</v>
      </c>
      <c r="F454" s="70" t="n">
        <f aca="false">F453-E453</f>
        <v>0</v>
      </c>
      <c r="G454" s="70" t="n">
        <f aca="false">G453-F453</f>
        <v>0</v>
      </c>
      <c r="H454" s="70" t="n">
        <f aca="false">H453-G453</f>
        <v>0</v>
      </c>
      <c r="I454" s="70" t="n">
        <f aca="false">I453-H453</f>
        <v>0</v>
      </c>
      <c r="J454" s="70" t="n">
        <f aca="false">J453-I453</f>
        <v>0</v>
      </c>
      <c r="K454" s="70" t="n">
        <f aca="false">K453-J453</f>
        <v>0</v>
      </c>
      <c r="L454" s="70" t="n">
        <f aca="false">L453-K453</f>
        <v>0</v>
      </c>
      <c r="M454" s="70" t="n">
        <f aca="false">M453-L453</f>
        <v>0</v>
      </c>
      <c r="N454" s="70" t="n">
        <f aca="false">N453-M453</f>
        <v>0</v>
      </c>
      <c r="O454" s="70" t="n">
        <f aca="false">O453-N453</f>
        <v>0</v>
      </c>
      <c r="P454" s="70" t="n">
        <f aca="false">P453-O453</f>
        <v>0</v>
      </c>
      <c r="Q454" s="70" t="n">
        <f aca="false">Q453-P453</f>
        <v>0</v>
      </c>
      <c r="R454" s="70" t="n">
        <f aca="false">R453-Q453</f>
        <v>14820.3592814371</v>
      </c>
      <c r="S454" s="70" t="n">
        <f aca="false">S453-R453</f>
        <v>15898.2035928144</v>
      </c>
      <c r="T454" s="70" t="n">
        <f aca="false">T453-S453</f>
        <v>16616.7664670659</v>
      </c>
      <c r="U454" s="70" t="n">
        <f aca="false">U453-T453</f>
        <v>12664.6706586826</v>
      </c>
      <c r="V454" s="70" t="n">
        <f aca="false">V453-U453</f>
        <v>0</v>
      </c>
      <c r="W454" s="70" t="n">
        <f aca="false">W453-V453</f>
        <v>0</v>
      </c>
      <c r="X454" s="70" t="n">
        <f aca="false">X453-W453</f>
        <v>0</v>
      </c>
      <c r="Y454" s="70" t="n">
        <f aca="false">Y453-X453</f>
        <v>0</v>
      </c>
      <c r="Z454" s="70" t="n">
        <f aca="false">Z453-Y453</f>
        <v>0</v>
      </c>
      <c r="AA454" s="70" t="n">
        <f aca="false">AA453-Z453</f>
        <v>0</v>
      </c>
      <c r="AB454" s="70" t="n">
        <f aca="false">AB453-AA453</f>
        <v>0</v>
      </c>
    </row>
    <row r="455" customFormat="false" ht="15" hidden="false" customHeight="false" outlineLevel="0" collapsed="false">
      <c r="A455" s="29" t="s">
        <v>867</v>
      </c>
      <c r="B455" s="60" t="s">
        <v>868</v>
      </c>
      <c r="C455" s="61" t="n">
        <f aca="false">P455</f>
        <v>0</v>
      </c>
      <c r="D455" s="61" t="n">
        <f aca="false">AB455</f>
        <v>60000</v>
      </c>
      <c r="E455" s="62" t="n">
        <f aca="false">Engagement_Register!$AP$34*(Assumptions!$C$146*(Assumptions!E$187&gt;=Engagement_Register!$AG$34)+Assumptions!$C$147*(Assumptions!E$187&gt;=Engagement_Register!$AI$34)+Assumptions!$C$148*(Assumptions!E$187&gt;=Engagement_Register!$AH$34))</f>
        <v>0</v>
      </c>
      <c r="F455" s="62" t="n">
        <f aca="false">Engagement_Register!$AP$34*(Assumptions!$C$146*(Assumptions!F$187&gt;=Engagement_Register!$AG$34)+Assumptions!$C$147*(Assumptions!F$187&gt;=Engagement_Register!$AI$34)+Assumptions!$C$148*(Assumptions!F$187&gt;=Engagement_Register!$AH$34))</f>
        <v>0</v>
      </c>
      <c r="G455" s="62" t="n">
        <f aca="false">Engagement_Register!$AP$34*(Assumptions!$C$146*(Assumptions!G$187&gt;=Engagement_Register!$AG$34)+Assumptions!$C$147*(Assumptions!G$187&gt;=Engagement_Register!$AI$34)+Assumptions!$C$148*(Assumptions!G$187&gt;=Engagement_Register!$AH$34))</f>
        <v>0</v>
      </c>
      <c r="H455" s="62" t="n">
        <f aca="false">Engagement_Register!$AP$34*(Assumptions!$C$146*(Assumptions!H$187&gt;=Engagement_Register!$AG$34)+Assumptions!$C$147*(Assumptions!H$187&gt;=Engagement_Register!$AI$34)+Assumptions!$C$148*(Assumptions!H$187&gt;=Engagement_Register!$AH$34))</f>
        <v>0</v>
      </c>
      <c r="I455" s="62" t="n">
        <f aca="false">Engagement_Register!$AP$34*(Assumptions!$C$146*(Assumptions!I$187&gt;=Engagement_Register!$AG$34)+Assumptions!$C$147*(Assumptions!I$187&gt;=Engagement_Register!$AI$34)+Assumptions!$C$148*(Assumptions!I$187&gt;=Engagement_Register!$AH$34))</f>
        <v>0</v>
      </c>
      <c r="J455" s="62" t="n">
        <f aca="false">Engagement_Register!$AP$34*(Assumptions!$C$146*(Assumptions!J$187&gt;=Engagement_Register!$AG$34)+Assumptions!$C$147*(Assumptions!J$187&gt;=Engagement_Register!$AI$34)+Assumptions!$C$148*(Assumptions!J$187&gt;=Engagement_Register!$AH$34))</f>
        <v>0</v>
      </c>
      <c r="K455" s="62" t="n">
        <f aca="false">Engagement_Register!$AP$34*(Assumptions!$C$146*(Assumptions!K$187&gt;=Engagement_Register!$AG$34)+Assumptions!$C$147*(Assumptions!K$187&gt;=Engagement_Register!$AI$34)+Assumptions!$C$148*(Assumptions!K$187&gt;=Engagement_Register!$AH$34))</f>
        <v>0</v>
      </c>
      <c r="L455" s="62" t="n">
        <f aca="false">Engagement_Register!$AP$34*(Assumptions!$C$146*(Assumptions!L$187&gt;=Engagement_Register!$AG$34)+Assumptions!$C$147*(Assumptions!L$187&gt;=Engagement_Register!$AI$34)+Assumptions!$C$148*(Assumptions!L$187&gt;=Engagement_Register!$AH$34))</f>
        <v>0</v>
      </c>
      <c r="M455" s="62" t="n">
        <f aca="false">Engagement_Register!$AP$34*(Assumptions!$C$146*(Assumptions!M$187&gt;=Engagement_Register!$AG$34)+Assumptions!$C$147*(Assumptions!M$187&gt;=Engagement_Register!$AI$34)+Assumptions!$C$148*(Assumptions!M$187&gt;=Engagement_Register!$AH$34))</f>
        <v>0</v>
      </c>
      <c r="N455" s="62" t="n">
        <f aca="false">Engagement_Register!$AP$34*(Assumptions!$C$146*(Assumptions!N$187&gt;=Engagement_Register!$AG$34)+Assumptions!$C$147*(Assumptions!N$187&gt;=Engagement_Register!$AI$34)+Assumptions!$C$148*(Assumptions!N$187&gt;=Engagement_Register!$AH$34))</f>
        <v>0</v>
      </c>
      <c r="O455" s="62" t="n">
        <f aca="false">Engagement_Register!$AP$34*(Assumptions!$C$146*(Assumptions!O$187&gt;=Engagement_Register!$AG$34)+Assumptions!$C$147*(Assumptions!O$187&gt;=Engagement_Register!$AI$34)+Assumptions!$C$148*(Assumptions!O$187&gt;=Engagement_Register!$AH$34))</f>
        <v>0</v>
      </c>
      <c r="P455" s="62" t="n">
        <f aca="false">Engagement_Register!$AP$34*(Assumptions!$C$146*(Assumptions!P$187&gt;=Engagement_Register!$AG$34)+Assumptions!$C$147*(Assumptions!P$187&gt;=Engagement_Register!$AI$34)+Assumptions!$C$148*(Assumptions!P$187&gt;=Engagement_Register!$AH$34))</f>
        <v>0</v>
      </c>
      <c r="Q455" s="62" t="n">
        <f aca="false">Engagement_Register!$AP$34*(Assumptions!$C$146*(Assumptions!Q$187&gt;=Engagement_Register!$AG$34)+Assumptions!$C$147*(Assumptions!Q$187&gt;=Engagement_Register!$AI$34)+Assumptions!$C$148*(Assumptions!Q$187&gt;=Engagement_Register!$AH$34))</f>
        <v>0</v>
      </c>
      <c r="R455" s="62" t="n">
        <f aca="false">Engagement_Register!$AP$34*(Assumptions!$C$146*(Assumptions!R$187&gt;=Engagement_Register!$AG$34)+Assumptions!$C$147*(Assumptions!R$187&gt;=Engagement_Register!$AI$34)+Assumptions!$C$148*(Assumptions!R$187&gt;=Engagement_Register!$AH$34))</f>
        <v>18000</v>
      </c>
      <c r="S455" s="62" t="n">
        <f aca="false">Engagement_Register!$AP$34*(Assumptions!$C$146*(Assumptions!S$187&gt;=Engagement_Register!$AG$34)+Assumptions!$C$147*(Assumptions!S$187&gt;=Engagement_Register!$AI$34)+Assumptions!$C$148*(Assumptions!S$187&gt;=Engagement_Register!$AH$34))</f>
        <v>18000</v>
      </c>
      <c r="T455" s="62" t="n">
        <f aca="false">Engagement_Register!$AP$34*(Assumptions!$C$146*(Assumptions!T$187&gt;=Engagement_Register!$AG$34)+Assumptions!$C$147*(Assumptions!T$187&gt;=Engagement_Register!$AI$34)+Assumptions!$C$148*(Assumptions!T$187&gt;=Engagement_Register!$AH$34))</f>
        <v>42000</v>
      </c>
      <c r="U455" s="62" t="n">
        <f aca="false">Engagement_Register!$AP$34*(Assumptions!$C$146*(Assumptions!U$187&gt;=Engagement_Register!$AG$34)+Assumptions!$C$147*(Assumptions!U$187&gt;=Engagement_Register!$AI$34)+Assumptions!$C$148*(Assumptions!U$187&gt;=Engagement_Register!$AH$34))</f>
        <v>60000</v>
      </c>
      <c r="V455" s="62" t="n">
        <f aca="false">Engagement_Register!$AP$34*(Assumptions!$C$146*(Assumptions!V$187&gt;=Engagement_Register!$AG$34)+Assumptions!$C$147*(Assumptions!V$187&gt;=Engagement_Register!$AI$34)+Assumptions!$C$148*(Assumptions!V$187&gt;=Engagement_Register!$AH$34))</f>
        <v>60000</v>
      </c>
      <c r="W455" s="62" t="n">
        <f aca="false">Engagement_Register!$AP$34*(Assumptions!$C$146*(Assumptions!W$187&gt;=Engagement_Register!$AG$34)+Assumptions!$C$147*(Assumptions!W$187&gt;=Engagement_Register!$AI$34)+Assumptions!$C$148*(Assumptions!W$187&gt;=Engagement_Register!$AH$34))</f>
        <v>60000</v>
      </c>
      <c r="X455" s="62" t="n">
        <f aca="false">Engagement_Register!$AP$34*(Assumptions!$C$146*(Assumptions!X$187&gt;=Engagement_Register!$AG$34)+Assumptions!$C$147*(Assumptions!X$187&gt;=Engagement_Register!$AI$34)+Assumptions!$C$148*(Assumptions!X$187&gt;=Engagement_Register!$AH$34))</f>
        <v>60000</v>
      </c>
      <c r="Y455" s="62" t="n">
        <f aca="false">Engagement_Register!$AP$34*(Assumptions!$C$146*(Assumptions!Y$187&gt;=Engagement_Register!$AG$34)+Assumptions!$C$147*(Assumptions!Y$187&gt;=Engagement_Register!$AI$34)+Assumptions!$C$148*(Assumptions!Y$187&gt;=Engagement_Register!$AH$34))</f>
        <v>60000</v>
      </c>
      <c r="Z455" s="62" t="n">
        <f aca="false">Engagement_Register!$AP$34*(Assumptions!$C$146*(Assumptions!Z$187&gt;=Engagement_Register!$AG$34)+Assumptions!$C$147*(Assumptions!Z$187&gt;=Engagement_Register!$AI$34)+Assumptions!$C$148*(Assumptions!Z$187&gt;=Engagement_Register!$AH$34))</f>
        <v>60000</v>
      </c>
      <c r="AA455" s="62" t="n">
        <f aca="false">Engagement_Register!$AP$34*(Assumptions!$C$146*(Assumptions!AA$187&gt;=Engagement_Register!$AG$34)+Assumptions!$C$147*(Assumptions!AA$187&gt;=Engagement_Register!$AI$34)+Assumptions!$C$148*(Assumptions!AA$187&gt;=Engagement_Register!$AH$34))</f>
        <v>60000</v>
      </c>
      <c r="AB455" s="62" t="n">
        <f aca="false">Engagement_Register!$AP$34*(Assumptions!$C$146*(Assumptions!AB$187&gt;=Engagement_Register!$AG$34)+Assumptions!$C$147*(Assumptions!AB$187&gt;=Engagement_Register!$AI$34)+Assumptions!$C$148*(Assumptions!AB$187&gt;=Engagement_Register!$AH$34))</f>
        <v>60000</v>
      </c>
    </row>
    <row r="456" customFormat="false" ht="15" hidden="false" customHeight="false" outlineLevel="0" collapsed="false">
      <c r="A456" s="29" t="s">
        <v>838</v>
      </c>
      <c r="B456" s="60" t="s">
        <v>869</v>
      </c>
      <c r="C456" s="61" t="n">
        <f aca="false">SUM(E456:P456)</f>
        <v>0</v>
      </c>
      <c r="D456" s="61" t="n">
        <f aca="false">SUM(Q456:AB456)</f>
        <v>60000</v>
      </c>
      <c r="E456" s="62" t="n">
        <f aca="false">IF(E$5="A",0,MAX(0,E455-Engagement_Register!$V$34))</f>
        <v>0</v>
      </c>
      <c r="F456" s="71" t="n">
        <f aca="false">IF(F$5="A",0,MAX(0,F455-E457))</f>
        <v>0</v>
      </c>
      <c r="G456" s="71" t="n">
        <f aca="false">IF(G$5="A",0,MAX(0,G455-F457))</f>
        <v>0</v>
      </c>
      <c r="H456" s="71" t="n">
        <f aca="false">IF(H$5="A",0,MAX(0,H455-G457))</f>
        <v>0</v>
      </c>
      <c r="I456" s="71" t="n">
        <f aca="false">IF(I$5="A",0,MAX(0,I455-H457))</f>
        <v>0</v>
      </c>
      <c r="J456" s="71" t="n">
        <f aca="false">IF(J$5="A",0,MAX(0,J455-I457))</f>
        <v>0</v>
      </c>
      <c r="K456" s="71" t="n">
        <f aca="false">IF(K$5="A",0,MAX(0,K455-J457))</f>
        <v>0</v>
      </c>
      <c r="L456" s="71" t="n">
        <f aca="false">IF(L$5="A",0,MAX(0,L455-K457))</f>
        <v>0</v>
      </c>
      <c r="M456" s="71" t="n">
        <f aca="false">IF(M$5="A",0,MAX(0,M455-L457))</f>
        <v>0</v>
      </c>
      <c r="N456" s="71" t="n">
        <f aca="false">IF(N$5="A",0,MAX(0,N455-M457))</f>
        <v>0</v>
      </c>
      <c r="O456" s="71" t="n">
        <f aca="false">IF(O$5="A",0,MAX(0,O455-N457))</f>
        <v>0</v>
      </c>
      <c r="P456" s="71" t="n">
        <f aca="false">IF(P$5="A",0,MAX(0,P455-O457))</f>
        <v>0</v>
      </c>
      <c r="Q456" s="71" t="n">
        <f aca="false">IF(Q$5="A",0,MAX(0,Q455-P457))</f>
        <v>0</v>
      </c>
      <c r="R456" s="71" t="n">
        <f aca="false">IF(R$5="A",0,MAX(0,R455-Q457))</f>
        <v>18000</v>
      </c>
      <c r="S456" s="71" t="n">
        <f aca="false">IF(S$5="A",0,MAX(0,S455-R457))</f>
        <v>0</v>
      </c>
      <c r="T456" s="71" t="n">
        <f aca="false">IF(T$5="A",0,MAX(0,T455-S457))</f>
        <v>24000</v>
      </c>
      <c r="U456" s="71" t="n">
        <f aca="false">IF(U$5="A",0,MAX(0,U455-T457))</f>
        <v>18000</v>
      </c>
      <c r="V456" s="71" t="n">
        <f aca="false">IF(V$5="A",0,MAX(0,V455-U457))</f>
        <v>0</v>
      </c>
      <c r="W456" s="71" t="n">
        <f aca="false">IF(W$5="A",0,MAX(0,W455-V457))</f>
        <v>0</v>
      </c>
      <c r="X456" s="71" t="n">
        <f aca="false">IF(X$5="A",0,MAX(0,X455-W457))</f>
        <v>0</v>
      </c>
      <c r="Y456" s="71" t="n">
        <f aca="false">IF(Y$5="A",0,MAX(0,Y455-X457))</f>
        <v>0</v>
      </c>
      <c r="Z456" s="71" t="n">
        <f aca="false">IF(Z$5="A",0,MAX(0,Z455-Y457))</f>
        <v>0</v>
      </c>
      <c r="AA456" s="71" t="n">
        <f aca="false">IF(AA$5="A",0,MAX(0,AA455-Z457))</f>
        <v>0</v>
      </c>
      <c r="AB456" s="71" t="n">
        <f aca="false">IF(AB$5="A",0,MAX(0,AB455-AA457))</f>
        <v>0</v>
      </c>
    </row>
    <row r="457" customFormat="false" ht="15" hidden="false" customHeight="false" outlineLevel="0" collapsed="false">
      <c r="A457" s="29" t="s">
        <v>840</v>
      </c>
      <c r="B457" s="60"/>
      <c r="C457" s="61" t="n">
        <f aca="false">P457</f>
        <v>0</v>
      </c>
      <c r="D457" s="61" t="n">
        <f aca="false">AB457</f>
        <v>60000</v>
      </c>
      <c r="E457" s="62" t="n">
        <f aca="false">Engagement_Register!$V$34+E456</f>
        <v>0</v>
      </c>
      <c r="F457" s="71" t="n">
        <f aca="false">E457+F456</f>
        <v>0</v>
      </c>
      <c r="G457" s="71" t="n">
        <f aca="false">F457+G456</f>
        <v>0</v>
      </c>
      <c r="H457" s="71" t="n">
        <f aca="false">G457+H456</f>
        <v>0</v>
      </c>
      <c r="I457" s="71" t="n">
        <f aca="false">H457+I456</f>
        <v>0</v>
      </c>
      <c r="J457" s="71" t="n">
        <f aca="false">I457+J456</f>
        <v>0</v>
      </c>
      <c r="K457" s="71" t="n">
        <f aca="false">J457+K456</f>
        <v>0</v>
      </c>
      <c r="L457" s="71" t="n">
        <f aca="false">K457+L456</f>
        <v>0</v>
      </c>
      <c r="M457" s="71" t="n">
        <f aca="false">L457+M456</f>
        <v>0</v>
      </c>
      <c r="N457" s="71" t="n">
        <f aca="false">M457+N456</f>
        <v>0</v>
      </c>
      <c r="O457" s="71" t="n">
        <f aca="false">N457+O456</f>
        <v>0</v>
      </c>
      <c r="P457" s="71" t="n">
        <f aca="false">O457+P456</f>
        <v>0</v>
      </c>
      <c r="Q457" s="71" t="n">
        <f aca="false">P457+Q456</f>
        <v>0</v>
      </c>
      <c r="R457" s="71" t="n">
        <f aca="false">Q457+R456</f>
        <v>18000</v>
      </c>
      <c r="S457" s="71" t="n">
        <f aca="false">R457+S456</f>
        <v>18000</v>
      </c>
      <c r="T457" s="71" t="n">
        <f aca="false">S457+T456</f>
        <v>42000</v>
      </c>
      <c r="U457" s="71" t="n">
        <f aca="false">T457+U456</f>
        <v>60000</v>
      </c>
      <c r="V457" s="71" t="n">
        <f aca="false">U457+V456</f>
        <v>60000</v>
      </c>
      <c r="W457" s="71" t="n">
        <f aca="false">V457+W456</f>
        <v>60000</v>
      </c>
      <c r="X457" s="71" t="n">
        <f aca="false">W457+X456</f>
        <v>60000</v>
      </c>
      <c r="Y457" s="71" t="n">
        <f aca="false">X457+Y456</f>
        <v>60000</v>
      </c>
      <c r="Z457" s="71" t="n">
        <f aca="false">Y457+Z456</f>
        <v>60000</v>
      </c>
      <c r="AA457" s="71" t="n">
        <f aca="false">Z457+AA456</f>
        <v>60000</v>
      </c>
      <c r="AB457" s="71" t="n">
        <f aca="false">AA457+AB456</f>
        <v>60000</v>
      </c>
    </row>
    <row r="458" customFormat="false" ht="15" hidden="false" customHeight="false" outlineLevel="0" collapsed="false">
      <c r="A458" s="29" t="s">
        <v>841</v>
      </c>
      <c r="B458" s="60" t="s">
        <v>842</v>
      </c>
      <c r="C458" s="61" t="n">
        <f aca="false">SUM(E458:P458)</f>
        <v>0</v>
      </c>
      <c r="D458" s="61" t="n">
        <f aca="false">SUM(Q458:AB458)</f>
        <v>2560.992</v>
      </c>
      <c r="E458" s="62" t="n">
        <f aca="false">IF(E$5="A",0,E36*Engagement_Register!$N$34*Assumptions!E$195)</f>
        <v>0</v>
      </c>
      <c r="F458" s="62" t="n">
        <f aca="false">IF(F$5="A",0,F36*Engagement_Register!$N$34*Assumptions!F$195)</f>
        <v>0</v>
      </c>
      <c r="G458" s="62" t="n">
        <f aca="false">IF(G$5="A",0,G36*Engagement_Register!$N$34*Assumptions!G$195)</f>
        <v>0</v>
      </c>
      <c r="H458" s="62" t="n">
        <f aca="false">IF(H$5="A",0,H36*Engagement_Register!$N$34*Assumptions!H$195)</f>
        <v>0</v>
      </c>
      <c r="I458" s="62" t="n">
        <f aca="false">IF(I$5="A",0,I36*Engagement_Register!$N$34*Assumptions!I$195)</f>
        <v>0</v>
      </c>
      <c r="J458" s="62" t="n">
        <f aca="false">IF(J$5="A",0,J36*Engagement_Register!$N$34*Assumptions!J$195)</f>
        <v>0</v>
      </c>
      <c r="K458" s="62" t="n">
        <f aca="false">IF(K$5="A",0,K36*Engagement_Register!$N$34*Assumptions!K$195)</f>
        <v>0</v>
      </c>
      <c r="L458" s="62" t="n">
        <f aca="false">IF(L$5="A",0,L36*Engagement_Register!$N$34*Assumptions!L$195)</f>
        <v>0</v>
      </c>
      <c r="M458" s="62" t="n">
        <f aca="false">IF(M$5="A",0,M36*Engagement_Register!$N$34*Assumptions!M$195)</f>
        <v>0</v>
      </c>
      <c r="N458" s="62" t="n">
        <f aca="false">IF(N$5="A",0,N36*Engagement_Register!$N$34*Assumptions!N$195)</f>
        <v>0</v>
      </c>
      <c r="O458" s="62" t="n">
        <f aca="false">IF(O$5="A",0,O36*Engagement_Register!$N$34*Assumptions!O$195)</f>
        <v>0</v>
      </c>
      <c r="P458" s="62" t="n">
        <f aca="false">IF(P$5="A",0,P36*Engagement_Register!$N$34*Assumptions!P$195)</f>
        <v>0</v>
      </c>
      <c r="Q458" s="62" t="n">
        <f aca="false">IF(Q$5="A",0,Q36*Engagement_Register!$N$34*Assumptions!Q$195)</f>
        <v>0</v>
      </c>
      <c r="R458" s="62" t="n">
        <f aca="false">IF(R$5="A",0,R36*Engagement_Register!$N$34*Assumptions!R$195)</f>
        <v>632.580359281437</v>
      </c>
      <c r="S458" s="62" t="n">
        <f aca="false">IF(S$5="A",0,S36*Engagement_Register!$N$34*Assumptions!S$195)</f>
        <v>678.586203592814</v>
      </c>
      <c r="T458" s="62" t="n">
        <f aca="false">IF(T$5="A",0,T36*Engagement_Register!$N$34*Assumptions!T$195)</f>
        <v>709.256766467066</v>
      </c>
      <c r="U458" s="62" t="n">
        <f aca="false">IF(U$5="A",0,U36*Engagement_Register!$N$34*Assumptions!U$195)</f>
        <v>540.568670658683</v>
      </c>
      <c r="V458" s="62" t="n">
        <f aca="false">IF(V$5="A",0,V36*Engagement_Register!$N$34*Assumptions!V$195)</f>
        <v>0</v>
      </c>
      <c r="W458" s="62" t="n">
        <f aca="false">IF(W$5="A",0,W36*Engagement_Register!$N$34*Assumptions!W$195)</f>
        <v>0</v>
      </c>
      <c r="X458" s="62" t="n">
        <f aca="false">IF(X$5="A",0,X36*Engagement_Register!$N$34*Assumptions!X$195)</f>
        <v>0</v>
      </c>
      <c r="Y458" s="62" t="n">
        <f aca="false">IF(Y$5="A",0,Y36*Engagement_Register!$N$34*Assumptions!Y$195)</f>
        <v>0</v>
      </c>
      <c r="Z458" s="62" t="n">
        <f aca="false">IF(Z$5="A",0,Z36*Engagement_Register!$N$34*Assumptions!Z$195)</f>
        <v>0</v>
      </c>
      <c r="AA458" s="62" t="n">
        <f aca="false">IF(AA$5="A",0,AA36*Engagement_Register!$N$34*Assumptions!AA$195)</f>
        <v>0</v>
      </c>
      <c r="AB458" s="62" t="n">
        <f aca="false">IF(AB$5="A",0,AB36*Engagement_Register!$N$34*Assumptions!AB$195)</f>
        <v>0</v>
      </c>
    </row>
    <row r="459" customFormat="false" ht="15" hidden="false" customHeight="false" outlineLevel="0" collapsed="false">
      <c r="A459" s="29" t="s">
        <v>847</v>
      </c>
      <c r="B459" s="60" t="s">
        <v>848</v>
      </c>
      <c r="C459" s="61" t="n">
        <f aca="false">P459</f>
        <v>0</v>
      </c>
      <c r="D459" s="61" t="n">
        <f aca="false">AB459</f>
        <v>0</v>
      </c>
      <c r="E459" s="62" t="n">
        <f aca="false">Engagement_Register!$X$34+E454-E456</f>
        <v>0</v>
      </c>
      <c r="F459" s="71" t="n">
        <f aca="false">E459+F454-F456</f>
        <v>0</v>
      </c>
      <c r="G459" s="71" t="n">
        <f aca="false">F459+G454-G456</f>
        <v>0</v>
      </c>
      <c r="H459" s="71" t="n">
        <f aca="false">G459+H454-H456</f>
        <v>0</v>
      </c>
      <c r="I459" s="71" t="n">
        <f aca="false">H459+I454-I456</f>
        <v>0</v>
      </c>
      <c r="J459" s="71" t="n">
        <f aca="false">I459+J454-J456</f>
        <v>0</v>
      </c>
      <c r="K459" s="71" t="n">
        <f aca="false">J459+K454-K456</f>
        <v>0</v>
      </c>
      <c r="L459" s="71" t="n">
        <f aca="false">K459+L454-L456</f>
        <v>0</v>
      </c>
      <c r="M459" s="71" t="n">
        <f aca="false">L459+M454-M456</f>
        <v>0</v>
      </c>
      <c r="N459" s="71" t="n">
        <f aca="false">M459+N454-N456</f>
        <v>0</v>
      </c>
      <c r="O459" s="71" t="n">
        <f aca="false">N459+O454-O456</f>
        <v>0</v>
      </c>
      <c r="P459" s="71" t="n">
        <f aca="false">O459+P454-P456</f>
        <v>0</v>
      </c>
      <c r="Q459" s="71" t="n">
        <f aca="false">P459+Q454-Q456</f>
        <v>0</v>
      </c>
      <c r="R459" s="71" t="n">
        <f aca="false">Q459+R454-R456</f>
        <v>-3179.64071856287</v>
      </c>
      <c r="S459" s="71" t="n">
        <f aca="false">R459+S454-S456</f>
        <v>12718.5628742515</v>
      </c>
      <c r="T459" s="71" t="n">
        <f aca="false">S459+T454-T456</f>
        <v>5335.32934131736</v>
      </c>
      <c r="U459" s="71" t="n">
        <f aca="false">T459+U454-U456</f>
        <v>0</v>
      </c>
      <c r="V459" s="71" t="n">
        <f aca="false">U459+V454-V456</f>
        <v>0</v>
      </c>
      <c r="W459" s="71" t="n">
        <f aca="false">V459+W454-W456</f>
        <v>0</v>
      </c>
      <c r="X459" s="71" t="n">
        <f aca="false">W459+X454-X456</f>
        <v>0</v>
      </c>
      <c r="Y459" s="71" t="n">
        <f aca="false">X459+Y454-Y456</f>
        <v>0</v>
      </c>
      <c r="Z459" s="71" t="n">
        <f aca="false">Y459+Z454-Z456</f>
        <v>0</v>
      </c>
      <c r="AA459" s="71" t="n">
        <f aca="false">Z459+AA454-AA456</f>
        <v>0</v>
      </c>
      <c r="AB459" s="71" t="n">
        <f aca="false">AA459+AB454-AB456</f>
        <v>0</v>
      </c>
    </row>
    <row r="460" customFormat="false" ht="15" hidden="false" customHeight="false" outlineLevel="0" collapsed="false">
      <c r="A460" s="29" t="s">
        <v>890</v>
      </c>
      <c r="B460" s="60" t="s">
        <v>850</v>
      </c>
      <c r="C460" s="61" t="n">
        <f aca="false">P460</f>
        <v>60000</v>
      </c>
      <c r="D460" s="61" t="n">
        <f aca="false">AB460</f>
        <v>0</v>
      </c>
      <c r="E460" s="62" t="n">
        <f aca="false">MAX(0,Engagement_Register!$AP$34-E453)</f>
        <v>60000</v>
      </c>
      <c r="F460" s="62" t="n">
        <f aca="false">MAX(0,Engagement_Register!$AP$34-F453)</f>
        <v>60000</v>
      </c>
      <c r="G460" s="62" t="n">
        <f aca="false">MAX(0,Engagement_Register!$AP$34-G453)</f>
        <v>60000</v>
      </c>
      <c r="H460" s="62" t="n">
        <f aca="false">MAX(0,Engagement_Register!$AP$34-H453)</f>
        <v>60000</v>
      </c>
      <c r="I460" s="62" t="n">
        <f aca="false">MAX(0,Engagement_Register!$AP$34-I453)</f>
        <v>60000</v>
      </c>
      <c r="J460" s="62" t="n">
        <f aca="false">MAX(0,Engagement_Register!$AP$34-J453)</f>
        <v>60000</v>
      </c>
      <c r="K460" s="62" t="n">
        <f aca="false">MAX(0,Engagement_Register!$AP$34-K453)</f>
        <v>60000</v>
      </c>
      <c r="L460" s="62" t="n">
        <f aca="false">MAX(0,Engagement_Register!$AP$34-L453)</f>
        <v>60000</v>
      </c>
      <c r="M460" s="62" t="n">
        <f aca="false">MAX(0,Engagement_Register!$AP$34-M453)</f>
        <v>60000</v>
      </c>
      <c r="N460" s="62" t="n">
        <f aca="false">MAX(0,Engagement_Register!$AP$34-N453)</f>
        <v>60000</v>
      </c>
      <c r="O460" s="62" t="n">
        <f aca="false">MAX(0,Engagement_Register!$AP$34-O453)</f>
        <v>60000</v>
      </c>
      <c r="P460" s="62" t="n">
        <f aca="false">MAX(0,Engagement_Register!$AP$34-P453)</f>
        <v>60000</v>
      </c>
      <c r="Q460" s="62" t="n">
        <f aca="false">MAX(0,Engagement_Register!$AP$34-Q453)</f>
        <v>60000</v>
      </c>
      <c r="R460" s="62" t="n">
        <f aca="false">MAX(0,Engagement_Register!$AP$34-R453)</f>
        <v>45179.6407185629</v>
      </c>
      <c r="S460" s="62" t="n">
        <f aca="false">MAX(0,Engagement_Register!$AP$34-S453)</f>
        <v>29281.4371257485</v>
      </c>
      <c r="T460" s="62" t="n">
        <f aca="false">MAX(0,Engagement_Register!$AP$34-T453)</f>
        <v>12664.6706586826</v>
      </c>
      <c r="U460" s="62" t="n">
        <f aca="false">MAX(0,Engagement_Register!$AP$34-U453)</f>
        <v>0</v>
      </c>
      <c r="V460" s="62" t="n">
        <f aca="false">MAX(0,Engagement_Register!$AP$34-V453)</f>
        <v>0</v>
      </c>
      <c r="W460" s="62" t="n">
        <f aca="false">MAX(0,Engagement_Register!$AP$34-W453)</f>
        <v>0</v>
      </c>
      <c r="X460" s="62" t="n">
        <f aca="false">MAX(0,Engagement_Register!$AP$34-X453)</f>
        <v>0</v>
      </c>
      <c r="Y460" s="62" t="n">
        <f aca="false">MAX(0,Engagement_Register!$AP$34-Y453)</f>
        <v>0</v>
      </c>
      <c r="Z460" s="62" t="n">
        <f aca="false">MAX(0,Engagement_Register!$AP$34-Z453)</f>
        <v>0</v>
      </c>
      <c r="AA460" s="62" t="n">
        <f aca="false">MAX(0,Engagement_Register!$AP$34-AA453)</f>
        <v>0</v>
      </c>
      <c r="AB460" s="62" t="n">
        <f aca="false">MAX(0,Engagement_Register!$AP$34-AB453)</f>
        <v>0</v>
      </c>
    </row>
    <row r="462" customFormat="false" ht="15" hidden="false" customHeight="false" outlineLevel="0" collapsed="false">
      <c r="A462" s="23" t="s">
        <v>895</v>
      </c>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row>
    <row r="463" customFormat="false" ht="15" hidden="false" customHeight="false" outlineLevel="0" collapsed="false">
      <c r="A463" s="29" t="s">
        <v>736</v>
      </c>
      <c r="B463" s="60" t="s">
        <v>832</v>
      </c>
      <c r="C463" s="66" t="n">
        <f aca="false">P463</f>
        <v>0</v>
      </c>
      <c r="D463" s="66" t="n">
        <f aca="false">AB463</f>
        <v>551.25</v>
      </c>
      <c r="E463" s="67" t="n">
        <f aca="false">Engagement_Register!$T$35+E37</f>
        <v>0</v>
      </c>
      <c r="F463" s="72" t="n">
        <f aca="false">E463+F37</f>
        <v>0</v>
      </c>
      <c r="G463" s="72" t="n">
        <f aca="false">F463+G37</f>
        <v>0</v>
      </c>
      <c r="H463" s="72" t="n">
        <f aca="false">G463+H37</f>
        <v>0</v>
      </c>
      <c r="I463" s="72" t="n">
        <f aca="false">H463+I37</f>
        <v>0</v>
      </c>
      <c r="J463" s="72" t="n">
        <f aca="false">I463+J37</f>
        <v>0</v>
      </c>
      <c r="K463" s="72" t="n">
        <f aca="false">J463+K37</f>
        <v>0</v>
      </c>
      <c r="L463" s="72" t="n">
        <f aca="false">K463+L37</f>
        <v>0</v>
      </c>
      <c r="M463" s="72" t="n">
        <f aca="false">L463+M37</f>
        <v>0</v>
      </c>
      <c r="N463" s="72" t="n">
        <f aca="false">M463+N37</f>
        <v>0</v>
      </c>
      <c r="O463" s="72" t="n">
        <f aca="false">N463+O37</f>
        <v>0</v>
      </c>
      <c r="P463" s="72" t="n">
        <f aca="false">O463+P37</f>
        <v>0</v>
      </c>
      <c r="Q463" s="72" t="n">
        <f aca="false">P463+Q37</f>
        <v>86.5554465161924</v>
      </c>
      <c r="R463" s="72" t="n">
        <f aca="false">Q463+R37</f>
        <v>175.815750736016</v>
      </c>
      <c r="S463" s="72" t="n">
        <f aca="false">R463+S37</f>
        <v>271.567713444554</v>
      </c>
      <c r="T463" s="72" t="n">
        <f aca="false">S463+T37</f>
        <v>371.647448478901</v>
      </c>
      <c r="U463" s="72" t="n">
        <f aca="false">T463+U37</f>
        <v>447.924435721295</v>
      </c>
      <c r="V463" s="72" t="n">
        <f aca="false">U463+V37</f>
        <v>551.25</v>
      </c>
      <c r="W463" s="72" t="n">
        <f aca="false">V463+W37</f>
        <v>551.25</v>
      </c>
      <c r="X463" s="72" t="n">
        <f aca="false">W463+X37</f>
        <v>551.25</v>
      </c>
      <c r="Y463" s="72" t="n">
        <f aca="false">X463+Y37</f>
        <v>551.25</v>
      </c>
      <c r="Z463" s="72" t="n">
        <f aca="false">Y463+Z37</f>
        <v>551.25</v>
      </c>
      <c r="AA463" s="72" t="n">
        <f aca="false">Z463+AA37</f>
        <v>551.25</v>
      </c>
      <c r="AB463" s="72" t="n">
        <f aca="false">AA463+AB37</f>
        <v>551.25</v>
      </c>
    </row>
    <row r="464" customFormat="false" ht="15" hidden="false" customHeight="false" outlineLevel="0" collapsed="false">
      <c r="A464" s="29" t="s">
        <v>852</v>
      </c>
      <c r="B464" s="60" t="s">
        <v>853</v>
      </c>
      <c r="C464" s="66" t="n">
        <f aca="false">P464</f>
        <v>551.25</v>
      </c>
      <c r="D464" s="66" t="n">
        <f aca="false">AB464</f>
        <v>551.25</v>
      </c>
      <c r="E464" s="67" t="n">
        <f aca="false">IF(E$5="A",Engagement_Register!$AM$35,Engagement_Register!$AM$35)</f>
        <v>551.25</v>
      </c>
      <c r="F464" s="67" t="n">
        <f aca="false">IF(F$5="A",Engagement_Register!$AM$35,Engagement_Register!$AM$35)</f>
        <v>551.25</v>
      </c>
      <c r="G464" s="67" t="n">
        <f aca="false">IF(G$5="A",Engagement_Register!$AM$35,Engagement_Register!$AM$35)</f>
        <v>551.25</v>
      </c>
      <c r="H464" s="67" t="n">
        <f aca="false">IF(H$5="A",Engagement_Register!$AM$35,Engagement_Register!$AM$35)</f>
        <v>551.25</v>
      </c>
      <c r="I464" s="67" t="n">
        <f aca="false">IF(I$5="A",Engagement_Register!$AM$35,Engagement_Register!$AM$35)</f>
        <v>551.25</v>
      </c>
      <c r="J464" s="67" t="n">
        <f aca="false">IF(J$5="A",Engagement_Register!$AM$35,Engagement_Register!$AM$35)</f>
        <v>551.25</v>
      </c>
      <c r="K464" s="67" t="n">
        <f aca="false">IF(K$5="A",Engagement_Register!$AM$35,Engagement_Register!$AM$35)</f>
        <v>551.25</v>
      </c>
      <c r="L464" s="67" t="n">
        <f aca="false">IF(L$5="A",Engagement_Register!$AM$35,Engagement_Register!$AM$35)</f>
        <v>551.25</v>
      </c>
      <c r="M464" s="67" t="n">
        <f aca="false">IF(M$5="A",Engagement_Register!$AM$35,Engagement_Register!$AM$35)</f>
        <v>551.25</v>
      </c>
      <c r="N464" s="67" t="n">
        <f aca="false">IF(N$5="A",Engagement_Register!$AM$35,Engagement_Register!$AM$35)</f>
        <v>551.25</v>
      </c>
      <c r="O464" s="67" t="n">
        <f aca="false">IF(O$5="A",Engagement_Register!$AM$35,Engagement_Register!$AM$35)</f>
        <v>551.25</v>
      </c>
      <c r="P464" s="67" t="n">
        <f aca="false">IF(P$5="A",Engagement_Register!$AM$35,Engagement_Register!$AM$35)</f>
        <v>551.25</v>
      </c>
      <c r="Q464" s="67" t="n">
        <f aca="false">IF(Q$5="A",Engagement_Register!$AM$35,Engagement_Register!$AM$35)</f>
        <v>551.25</v>
      </c>
      <c r="R464" s="67" t="n">
        <f aca="false">IF(R$5="A",Engagement_Register!$AM$35,Engagement_Register!$AM$35)</f>
        <v>551.25</v>
      </c>
      <c r="S464" s="67" t="n">
        <f aca="false">IF(S$5="A",Engagement_Register!$AM$35,Engagement_Register!$AM$35)</f>
        <v>551.25</v>
      </c>
      <c r="T464" s="67" t="n">
        <f aca="false">IF(T$5="A",Engagement_Register!$AM$35,Engagement_Register!$AM$35)</f>
        <v>551.25</v>
      </c>
      <c r="U464" s="67" t="n">
        <f aca="false">IF(U$5="A",Engagement_Register!$AM$35,Engagement_Register!$AM$35)</f>
        <v>551.25</v>
      </c>
      <c r="V464" s="67" t="n">
        <f aca="false">IF(V$5="A",Engagement_Register!$AM$35,Engagement_Register!$AM$35)</f>
        <v>551.25</v>
      </c>
      <c r="W464" s="67" t="n">
        <f aca="false">IF(W$5="A",Engagement_Register!$AM$35,Engagement_Register!$AM$35)</f>
        <v>551.25</v>
      </c>
      <c r="X464" s="67" t="n">
        <f aca="false">IF(X$5="A",Engagement_Register!$AM$35,Engagement_Register!$AM$35)</f>
        <v>551.25</v>
      </c>
      <c r="Y464" s="67" t="n">
        <f aca="false">IF(Y$5="A",Engagement_Register!$AM$35,Engagement_Register!$AM$35)</f>
        <v>551.25</v>
      </c>
      <c r="Z464" s="67" t="n">
        <f aca="false">IF(Z$5="A",Engagement_Register!$AM$35,Engagement_Register!$AM$35)</f>
        <v>551.25</v>
      </c>
      <c r="AA464" s="67" t="n">
        <f aca="false">IF(AA$5="A",Engagement_Register!$AM$35,Engagement_Register!$AM$35)</f>
        <v>551.25</v>
      </c>
      <c r="AB464" s="67" t="n">
        <f aca="false">IF(AB$5="A",Engagement_Register!$AM$35,Engagement_Register!$AM$35)</f>
        <v>551.25</v>
      </c>
    </row>
    <row r="465" customFormat="false" ht="15" hidden="false" customHeight="false" outlineLevel="0" collapsed="false">
      <c r="A465" s="29" t="s">
        <v>854</v>
      </c>
      <c r="B465" s="60" t="s">
        <v>855</v>
      </c>
      <c r="C465" s="63" t="n">
        <f aca="false">P465</f>
        <v>0</v>
      </c>
      <c r="D465" s="63" t="n">
        <f aca="false">AB465</f>
        <v>1</v>
      </c>
      <c r="E465" s="64" t="n">
        <f aca="false">IF(E464&lt;=0,0,MIN(1,E463/E464))</f>
        <v>0</v>
      </c>
      <c r="F465" s="64" t="n">
        <f aca="false">IF(F464&lt;=0,0,MIN(1,F463/F464))</f>
        <v>0</v>
      </c>
      <c r="G465" s="64" t="n">
        <f aca="false">IF(G464&lt;=0,0,MIN(1,G463/G464))</f>
        <v>0</v>
      </c>
      <c r="H465" s="64" t="n">
        <f aca="false">IF(H464&lt;=0,0,MIN(1,H463/H464))</f>
        <v>0</v>
      </c>
      <c r="I465" s="64" t="n">
        <f aca="false">IF(I464&lt;=0,0,MIN(1,I463/I464))</f>
        <v>0</v>
      </c>
      <c r="J465" s="64" t="n">
        <f aca="false">IF(J464&lt;=0,0,MIN(1,J463/J464))</f>
        <v>0</v>
      </c>
      <c r="K465" s="64" t="n">
        <f aca="false">IF(K464&lt;=0,0,MIN(1,K463/K464))</f>
        <v>0</v>
      </c>
      <c r="L465" s="64" t="n">
        <f aca="false">IF(L464&lt;=0,0,MIN(1,L463/L464))</f>
        <v>0</v>
      </c>
      <c r="M465" s="64" t="n">
        <f aca="false">IF(M464&lt;=0,0,MIN(1,M463/M464))</f>
        <v>0</v>
      </c>
      <c r="N465" s="64" t="n">
        <f aca="false">IF(N464&lt;=0,0,MIN(1,N463/N464))</f>
        <v>0</v>
      </c>
      <c r="O465" s="64" t="n">
        <f aca="false">IF(O464&lt;=0,0,MIN(1,O463/O464))</f>
        <v>0</v>
      </c>
      <c r="P465" s="64" t="n">
        <f aca="false">IF(P464&lt;=0,0,MIN(1,P463/P464))</f>
        <v>0</v>
      </c>
      <c r="Q465" s="64" t="n">
        <f aca="false">IF(Q464&lt;=0,0,MIN(1,Q463/Q464))</f>
        <v>0.157016683022571</v>
      </c>
      <c r="R465" s="64" t="n">
        <f aca="false">IF(R464&lt;=0,0,MIN(1,R463/R464))</f>
        <v>0.318940137389598</v>
      </c>
      <c r="S465" s="64" t="n">
        <f aca="false">IF(S464&lt;=0,0,MIN(1,S463/S464))</f>
        <v>0.492639842983317</v>
      </c>
      <c r="T465" s="64" t="n">
        <f aca="false">IF(T464&lt;=0,0,MIN(1,T463/T464))</f>
        <v>0.674190382728165</v>
      </c>
      <c r="U465" s="64" t="n">
        <f aca="false">IF(U464&lt;=0,0,MIN(1,U463/U464))</f>
        <v>0.812561334641806</v>
      </c>
      <c r="V465" s="64" t="n">
        <f aca="false">IF(V464&lt;=0,0,MIN(1,V463/V464))</f>
        <v>1</v>
      </c>
      <c r="W465" s="64" t="n">
        <f aca="false">IF(W464&lt;=0,0,MIN(1,W463/W464))</f>
        <v>1</v>
      </c>
      <c r="X465" s="64" t="n">
        <f aca="false">IF(X464&lt;=0,0,MIN(1,X463/X464))</f>
        <v>1</v>
      </c>
      <c r="Y465" s="64" t="n">
        <f aca="false">IF(Y464&lt;=0,0,MIN(1,Y463/Y464))</f>
        <v>1</v>
      </c>
      <c r="Z465" s="64" t="n">
        <f aca="false">IF(Z464&lt;=0,0,MIN(1,Z463/Z464))</f>
        <v>1</v>
      </c>
      <c r="AA465" s="64" t="n">
        <f aca="false">IF(AA464&lt;=0,0,MIN(1,AA463/AA464))</f>
        <v>1</v>
      </c>
      <c r="AB465" s="64" t="n">
        <f aca="false">IF(AB464&lt;=0,0,MIN(1,AB463/AB464))</f>
        <v>1</v>
      </c>
    </row>
    <row r="466" customFormat="false" ht="15" hidden="false" customHeight="false" outlineLevel="0" collapsed="false">
      <c r="A466" s="29" t="s">
        <v>833</v>
      </c>
      <c r="B466" s="60" t="s">
        <v>834</v>
      </c>
      <c r="C466" s="61" t="n">
        <f aca="false">SUM(E466:P466)</f>
        <v>0</v>
      </c>
      <c r="D466" s="61" t="n">
        <f aca="false">SUM(Q466:AB466)</f>
        <v>112768.11</v>
      </c>
      <c r="E466" s="62" t="n">
        <f aca="false">E37*Engagement_Register!$AD$35*Assumptions!E$194</f>
        <v>0</v>
      </c>
      <c r="F466" s="62" t="n">
        <f aca="false">F37*Engagement_Register!$AD$35*Assumptions!F$194</f>
        <v>0</v>
      </c>
      <c r="G466" s="62" t="n">
        <f aca="false">G37*Engagement_Register!$AD$35*Assumptions!G$194</f>
        <v>0</v>
      </c>
      <c r="H466" s="62" t="n">
        <f aca="false">H37*Engagement_Register!$AD$35*Assumptions!H$194</f>
        <v>0</v>
      </c>
      <c r="I466" s="62" t="n">
        <f aca="false">I37*Engagement_Register!$AD$35*Assumptions!I$194</f>
        <v>0</v>
      </c>
      <c r="J466" s="62" t="n">
        <f aca="false">J37*Engagement_Register!$AD$35*Assumptions!J$194</f>
        <v>0</v>
      </c>
      <c r="K466" s="62" t="n">
        <f aca="false">K37*Engagement_Register!$AD$35*Assumptions!K$194</f>
        <v>0</v>
      </c>
      <c r="L466" s="62" t="n">
        <f aca="false">L37*Engagement_Register!$AD$35*Assumptions!L$194</f>
        <v>0</v>
      </c>
      <c r="M466" s="62" t="n">
        <f aca="false">M37*Engagement_Register!$AD$35*Assumptions!M$194</f>
        <v>0</v>
      </c>
      <c r="N466" s="62" t="n">
        <f aca="false">N37*Engagement_Register!$AD$35*Assumptions!N$194</f>
        <v>0</v>
      </c>
      <c r="O466" s="62" t="n">
        <f aca="false">O37*Engagement_Register!$AD$35*Assumptions!O$194</f>
        <v>0</v>
      </c>
      <c r="P466" s="62" t="n">
        <f aca="false">P37*Engagement_Register!$AD$35*Assumptions!P$194</f>
        <v>0</v>
      </c>
      <c r="Q466" s="62" t="n">
        <f aca="false">Q37*Engagement_Register!$AD$35*Assumptions!Q$194</f>
        <v>17706.4745829244</v>
      </c>
      <c r="R466" s="62" t="n">
        <f aca="false">R37*Engagement_Register!$AD$35*Assumptions!R$194</f>
        <v>18259.8019136408</v>
      </c>
      <c r="S466" s="62" t="n">
        <f aca="false">S37*Engagement_Register!$AD$35*Assumptions!S$194</f>
        <v>19587.7875073602</v>
      </c>
      <c r="T466" s="62" t="n">
        <f aca="false">T37*Engagement_Register!$AD$35*Assumptions!T$194</f>
        <v>20473.1112365064</v>
      </c>
      <c r="U466" s="62" t="n">
        <f aca="false">U37*Engagement_Register!$AD$35*Assumptions!U$194</f>
        <v>15603.8307262022</v>
      </c>
      <c r="V466" s="62" t="n">
        <f aca="false">V37*Engagement_Register!$AD$35*Assumptions!V$194</f>
        <v>21137.104033366</v>
      </c>
      <c r="W466" s="62" t="n">
        <f aca="false">W37*Engagement_Register!$AD$35*Assumptions!W$194</f>
        <v>0</v>
      </c>
      <c r="X466" s="62" t="n">
        <f aca="false">X37*Engagement_Register!$AD$35*Assumptions!X$194</f>
        <v>0</v>
      </c>
      <c r="Y466" s="62" t="n">
        <f aca="false">Y37*Engagement_Register!$AD$35*Assumptions!Y$194</f>
        <v>0</v>
      </c>
      <c r="Z466" s="62" t="n">
        <f aca="false">Z37*Engagement_Register!$AD$35*Assumptions!Z$194</f>
        <v>0</v>
      </c>
      <c r="AA466" s="62" t="n">
        <f aca="false">AA37*Engagement_Register!$AD$35*Assumptions!AA$194</f>
        <v>0</v>
      </c>
      <c r="AB466" s="62" t="n">
        <f aca="false">AB37*Engagement_Register!$AD$35*Assumptions!AB$194</f>
        <v>0</v>
      </c>
    </row>
    <row r="467" customFormat="false" ht="15" hidden="false" customHeight="false" outlineLevel="0" collapsed="false">
      <c r="A467" s="29" t="s">
        <v>835</v>
      </c>
      <c r="B467" s="60" t="s">
        <v>865</v>
      </c>
      <c r="C467" s="61" t="n">
        <f aca="false">SUM(E467:P467)</f>
        <v>0</v>
      </c>
      <c r="D467" s="61" t="n">
        <f aca="false">SUM(Q467:AB467)</f>
        <v>99225</v>
      </c>
      <c r="E467" s="62" t="n">
        <f aca="false">E37*Engagement_Register!$AE$35</f>
        <v>0</v>
      </c>
      <c r="F467" s="62" t="n">
        <f aca="false">F37*Engagement_Register!$AE$35</f>
        <v>0</v>
      </c>
      <c r="G467" s="62" t="n">
        <f aca="false">G37*Engagement_Register!$AE$35</f>
        <v>0</v>
      </c>
      <c r="H467" s="62" t="n">
        <f aca="false">H37*Engagement_Register!$AE$35</f>
        <v>0</v>
      </c>
      <c r="I467" s="62" t="n">
        <f aca="false">I37*Engagement_Register!$AE$35</f>
        <v>0</v>
      </c>
      <c r="J467" s="62" t="n">
        <f aca="false">J37*Engagement_Register!$AE$35</f>
        <v>0</v>
      </c>
      <c r="K467" s="62" t="n">
        <f aca="false">K37*Engagement_Register!$AE$35</f>
        <v>0</v>
      </c>
      <c r="L467" s="62" t="n">
        <f aca="false">L37*Engagement_Register!$AE$35</f>
        <v>0</v>
      </c>
      <c r="M467" s="62" t="n">
        <f aca="false">M37*Engagement_Register!$AE$35</f>
        <v>0</v>
      </c>
      <c r="N467" s="62" t="n">
        <f aca="false">N37*Engagement_Register!$AE$35</f>
        <v>0</v>
      </c>
      <c r="O467" s="62" t="n">
        <f aca="false">O37*Engagement_Register!$AE$35</f>
        <v>0</v>
      </c>
      <c r="P467" s="62" t="n">
        <f aca="false">P37*Engagement_Register!$AE$35</f>
        <v>0</v>
      </c>
      <c r="Q467" s="62" t="n">
        <f aca="false">Q37*Engagement_Register!$AE$35</f>
        <v>15579.9803729146</v>
      </c>
      <c r="R467" s="62" t="n">
        <f aca="false">R37*Engagement_Register!$AE$35</f>
        <v>16066.8547595682</v>
      </c>
      <c r="S467" s="62" t="n">
        <f aca="false">S37*Engagement_Register!$AE$35</f>
        <v>17235.3532875368</v>
      </c>
      <c r="T467" s="62" t="n">
        <f aca="false">T37*Engagement_Register!$AE$35</f>
        <v>18014.3523061825</v>
      </c>
      <c r="U467" s="62" t="n">
        <f aca="false">U37*Engagement_Register!$AE$35</f>
        <v>13729.857703631</v>
      </c>
      <c r="V467" s="62" t="n">
        <f aca="false">V37*Engagement_Register!$AE$35</f>
        <v>18598.6015701668</v>
      </c>
      <c r="W467" s="62" t="n">
        <f aca="false">W37*Engagement_Register!$AE$35</f>
        <v>0</v>
      </c>
      <c r="X467" s="62" t="n">
        <f aca="false">X37*Engagement_Register!$AE$35</f>
        <v>0</v>
      </c>
      <c r="Y467" s="62" t="n">
        <f aca="false">Y37*Engagement_Register!$AE$35</f>
        <v>0</v>
      </c>
      <c r="Z467" s="62" t="n">
        <f aca="false">Z37*Engagement_Register!$AE$35</f>
        <v>0</v>
      </c>
      <c r="AA467" s="62" t="n">
        <f aca="false">AA37*Engagement_Register!$AE$35</f>
        <v>0</v>
      </c>
      <c r="AB467" s="62" t="n">
        <f aca="false">AB37*Engagement_Register!$AE$35</f>
        <v>0</v>
      </c>
    </row>
    <row r="468" customFormat="false" ht="15" hidden="false" customHeight="false" outlineLevel="0" collapsed="false">
      <c r="A468" s="29" t="s">
        <v>742</v>
      </c>
      <c r="B468" s="60" t="s">
        <v>866</v>
      </c>
      <c r="C468" s="61" t="n">
        <f aca="false">P468</f>
        <v>0</v>
      </c>
      <c r="D468" s="61" t="n">
        <f aca="false">AB468</f>
        <v>94500</v>
      </c>
      <c r="E468" s="62" t="n">
        <f aca="false">IF(E$5="A",Engagement_Register!$U$35+0,Engagement_Register!$AP$35*E465)</f>
        <v>0</v>
      </c>
      <c r="F468" s="62" t="n">
        <f aca="false">IF(F$5="A",E468+0,Engagement_Register!$AP$35*F465)</f>
        <v>0</v>
      </c>
      <c r="G468" s="62" t="n">
        <f aca="false">IF(G$5="A",F468+0,Engagement_Register!$AP$35*G465)</f>
        <v>0</v>
      </c>
      <c r="H468" s="62" t="n">
        <f aca="false">IF(H$5="A",G468+0,Engagement_Register!$AP$35*H465)</f>
        <v>0</v>
      </c>
      <c r="I468" s="62" t="n">
        <f aca="false">IF(I$5="A",H468+0,Engagement_Register!$AP$35*I465)</f>
        <v>0</v>
      </c>
      <c r="J468" s="62" t="n">
        <f aca="false">IF(J$5="A",I468+0,Engagement_Register!$AP$35*J465)</f>
        <v>0</v>
      </c>
      <c r="K468" s="62" t="n">
        <f aca="false">IF(K$5="A",J468+0,Engagement_Register!$AP$35*K465)</f>
        <v>0</v>
      </c>
      <c r="L468" s="62" t="n">
        <f aca="false">IF(L$5="A",K468+0,Engagement_Register!$AP$35*L465)</f>
        <v>0</v>
      </c>
      <c r="M468" s="62" t="n">
        <f aca="false">IF(M$5="A",L468+0,Engagement_Register!$AP$35*M465)</f>
        <v>0</v>
      </c>
      <c r="N468" s="62" t="n">
        <f aca="false">IF(N$5="A",M468+0,Engagement_Register!$AP$35*N465)</f>
        <v>0</v>
      </c>
      <c r="O468" s="62" t="n">
        <f aca="false">IF(O$5="A",N468+0,Engagement_Register!$AP$35*O465)</f>
        <v>0</v>
      </c>
      <c r="P468" s="62" t="n">
        <f aca="false">IF(P$5="A",O468+0,Engagement_Register!$AP$35*P465)</f>
        <v>0</v>
      </c>
      <c r="Q468" s="62" t="n">
        <f aca="false">IF(Q$5="A",P468+0,Engagement_Register!$AP$35*Q465)</f>
        <v>14838.076545633</v>
      </c>
      <c r="R468" s="62" t="n">
        <f aca="false">IF(R$5="A",Q468+0,Engagement_Register!$AP$35*R465)</f>
        <v>30139.842983317</v>
      </c>
      <c r="S468" s="62" t="n">
        <f aca="false">IF(S$5="A",R468+0,Engagement_Register!$AP$35*S465)</f>
        <v>46554.4651619235</v>
      </c>
      <c r="T468" s="62" t="n">
        <f aca="false">IF(T$5="A",S468+0,Engagement_Register!$AP$35*T465)</f>
        <v>63710.9911678116</v>
      </c>
      <c r="U468" s="62" t="n">
        <f aca="false">IF(U$5="A",T468+0,Engagement_Register!$AP$35*U465)</f>
        <v>76787.0461236506</v>
      </c>
      <c r="V468" s="62" t="n">
        <f aca="false">IF(V$5="A",U468+0,Engagement_Register!$AP$35*V465)</f>
        <v>94500</v>
      </c>
      <c r="W468" s="62" t="n">
        <f aca="false">IF(W$5="A",V468+0,Engagement_Register!$AP$35*W465)</f>
        <v>94500</v>
      </c>
      <c r="X468" s="62" t="n">
        <f aca="false">IF(X$5="A",W468+0,Engagement_Register!$AP$35*X465)</f>
        <v>94500</v>
      </c>
      <c r="Y468" s="62" t="n">
        <f aca="false">IF(Y$5="A",X468+0,Engagement_Register!$AP$35*Y465)</f>
        <v>94500</v>
      </c>
      <c r="Z468" s="62" t="n">
        <f aca="false">IF(Z$5="A",Y468+0,Engagement_Register!$AP$35*Z465)</f>
        <v>94500</v>
      </c>
      <c r="AA468" s="62" t="n">
        <f aca="false">IF(AA$5="A",Z468+0,Engagement_Register!$AP$35*AA465)</f>
        <v>94500</v>
      </c>
      <c r="AB468" s="62" t="n">
        <f aca="false">IF(AB$5="A",AA468+0,Engagement_Register!$AP$35*AB465)</f>
        <v>94500</v>
      </c>
    </row>
    <row r="469" customFormat="false" ht="15" hidden="false" customHeight="false" outlineLevel="0" collapsed="false">
      <c r="A469" s="68" t="s">
        <v>349</v>
      </c>
      <c r="B469" s="69" t="s">
        <v>859</v>
      </c>
      <c r="C469" s="70" t="n">
        <f aca="false">SUM(E469:P469)</f>
        <v>0</v>
      </c>
      <c r="D469" s="70" t="n">
        <f aca="false">SUM(Q469:AB469)</f>
        <v>94500</v>
      </c>
      <c r="E469" s="74" t="n">
        <f aca="false">E468-Engagement_Register!$U$35</f>
        <v>0</v>
      </c>
      <c r="F469" s="70" t="n">
        <f aca="false">F468-E468</f>
        <v>0</v>
      </c>
      <c r="G469" s="70" t="n">
        <f aca="false">G468-F468</f>
        <v>0</v>
      </c>
      <c r="H469" s="70" t="n">
        <f aca="false">H468-G468</f>
        <v>0</v>
      </c>
      <c r="I469" s="70" t="n">
        <f aca="false">I468-H468</f>
        <v>0</v>
      </c>
      <c r="J469" s="70" t="n">
        <f aca="false">J468-I468</f>
        <v>0</v>
      </c>
      <c r="K469" s="70" t="n">
        <f aca="false">K468-J468</f>
        <v>0</v>
      </c>
      <c r="L469" s="70" t="n">
        <f aca="false">L468-K468</f>
        <v>0</v>
      </c>
      <c r="M469" s="70" t="n">
        <f aca="false">M468-L468</f>
        <v>0</v>
      </c>
      <c r="N469" s="70" t="n">
        <f aca="false">N468-M468</f>
        <v>0</v>
      </c>
      <c r="O469" s="70" t="n">
        <f aca="false">O468-N468</f>
        <v>0</v>
      </c>
      <c r="P469" s="70" t="n">
        <f aca="false">P468-O468</f>
        <v>0</v>
      </c>
      <c r="Q469" s="70" t="n">
        <f aca="false">Q468-P468</f>
        <v>14838.076545633</v>
      </c>
      <c r="R469" s="70" t="n">
        <f aca="false">R468-Q468</f>
        <v>15301.766437684</v>
      </c>
      <c r="S469" s="70" t="n">
        <f aca="false">S468-R468</f>
        <v>16414.6221786065</v>
      </c>
      <c r="T469" s="70" t="n">
        <f aca="false">T468-S468</f>
        <v>17156.5260058881</v>
      </c>
      <c r="U469" s="70" t="n">
        <f aca="false">U468-T468</f>
        <v>13076.0549558391</v>
      </c>
      <c r="V469" s="70" t="n">
        <f aca="false">V468-U468</f>
        <v>17712.9538763494</v>
      </c>
      <c r="W469" s="70" t="n">
        <f aca="false">W468-V468</f>
        <v>0</v>
      </c>
      <c r="X469" s="70" t="n">
        <f aca="false">X468-W468</f>
        <v>0</v>
      </c>
      <c r="Y469" s="70" t="n">
        <f aca="false">Y468-X468</f>
        <v>0</v>
      </c>
      <c r="Z469" s="70" t="n">
        <f aca="false">Z468-Y468</f>
        <v>0</v>
      </c>
      <c r="AA469" s="70" t="n">
        <f aca="false">AA468-Z468</f>
        <v>0</v>
      </c>
      <c r="AB469" s="70" t="n">
        <f aca="false">AB468-AA468</f>
        <v>0</v>
      </c>
    </row>
    <row r="470" customFormat="false" ht="15" hidden="false" customHeight="false" outlineLevel="0" collapsed="false">
      <c r="A470" s="29" t="s">
        <v>867</v>
      </c>
      <c r="B470" s="60" t="s">
        <v>868</v>
      </c>
      <c r="C470" s="61" t="n">
        <f aca="false">P470</f>
        <v>0</v>
      </c>
      <c r="D470" s="61" t="n">
        <f aca="false">AB470</f>
        <v>94500</v>
      </c>
      <c r="E470" s="62" t="n">
        <f aca="false">Engagement_Register!$AP$35*(Assumptions!$C$146*(Assumptions!E$187&gt;=Engagement_Register!$AG$35)+Assumptions!$C$147*(Assumptions!E$187&gt;=Engagement_Register!$AI$35)+Assumptions!$C$148*(Assumptions!E$187&gt;=Engagement_Register!$AH$35))</f>
        <v>0</v>
      </c>
      <c r="F470" s="62" t="n">
        <f aca="false">Engagement_Register!$AP$35*(Assumptions!$C$146*(Assumptions!F$187&gt;=Engagement_Register!$AG$35)+Assumptions!$C$147*(Assumptions!F$187&gt;=Engagement_Register!$AI$35)+Assumptions!$C$148*(Assumptions!F$187&gt;=Engagement_Register!$AH$35))</f>
        <v>0</v>
      </c>
      <c r="G470" s="62" t="n">
        <f aca="false">Engagement_Register!$AP$35*(Assumptions!$C$146*(Assumptions!G$187&gt;=Engagement_Register!$AG$35)+Assumptions!$C$147*(Assumptions!G$187&gt;=Engagement_Register!$AI$35)+Assumptions!$C$148*(Assumptions!G$187&gt;=Engagement_Register!$AH$35))</f>
        <v>0</v>
      </c>
      <c r="H470" s="62" t="n">
        <f aca="false">Engagement_Register!$AP$35*(Assumptions!$C$146*(Assumptions!H$187&gt;=Engagement_Register!$AG$35)+Assumptions!$C$147*(Assumptions!H$187&gt;=Engagement_Register!$AI$35)+Assumptions!$C$148*(Assumptions!H$187&gt;=Engagement_Register!$AH$35))</f>
        <v>0</v>
      </c>
      <c r="I470" s="62" t="n">
        <f aca="false">Engagement_Register!$AP$35*(Assumptions!$C$146*(Assumptions!I$187&gt;=Engagement_Register!$AG$35)+Assumptions!$C$147*(Assumptions!I$187&gt;=Engagement_Register!$AI$35)+Assumptions!$C$148*(Assumptions!I$187&gt;=Engagement_Register!$AH$35))</f>
        <v>0</v>
      </c>
      <c r="J470" s="62" t="n">
        <f aca="false">Engagement_Register!$AP$35*(Assumptions!$C$146*(Assumptions!J$187&gt;=Engagement_Register!$AG$35)+Assumptions!$C$147*(Assumptions!J$187&gt;=Engagement_Register!$AI$35)+Assumptions!$C$148*(Assumptions!J$187&gt;=Engagement_Register!$AH$35))</f>
        <v>0</v>
      </c>
      <c r="K470" s="62" t="n">
        <f aca="false">Engagement_Register!$AP$35*(Assumptions!$C$146*(Assumptions!K$187&gt;=Engagement_Register!$AG$35)+Assumptions!$C$147*(Assumptions!K$187&gt;=Engagement_Register!$AI$35)+Assumptions!$C$148*(Assumptions!K$187&gt;=Engagement_Register!$AH$35))</f>
        <v>0</v>
      </c>
      <c r="L470" s="62" t="n">
        <f aca="false">Engagement_Register!$AP$35*(Assumptions!$C$146*(Assumptions!L$187&gt;=Engagement_Register!$AG$35)+Assumptions!$C$147*(Assumptions!L$187&gt;=Engagement_Register!$AI$35)+Assumptions!$C$148*(Assumptions!L$187&gt;=Engagement_Register!$AH$35))</f>
        <v>0</v>
      </c>
      <c r="M470" s="62" t="n">
        <f aca="false">Engagement_Register!$AP$35*(Assumptions!$C$146*(Assumptions!M$187&gt;=Engagement_Register!$AG$35)+Assumptions!$C$147*(Assumptions!M$187&gt;=Engagement_Register!$AI$35)+Assumptions!$C$148*(Assumptions!M$187&gt;=Engagement_Register!$AH$35))</f>
        <v>0</v>
      </c>
      <c r="N470" s="62" t="n">
        <f aca="false">Engagement_Register!$AP$35*(Assumptions!$C$146*(Assumptions!N$187&gt;=Engagement_Register!$AG$35)+Assumptions!$C$147*(Assumptions!N$187&gt;=Engagement_Register!$AI$35)+Assumptions!$C$148*(Assumptions!N$187&gt;=Engagement_Register!$AH$35))</f>
        <v>0</v>
      </c>
      <c r="O470" s="62" t="n">
        <f aca="false">Engagement_Register!$AP$35*(Assumptions!$C$146*(Assumptions!O$187&gt;=Engagement_Register!$AG$35)+Assumptions!$C$147*(Assumptions!O$187&gt;=Engagement_Register!$AI$35)+Assumptions!$C$148*(Assumptions!O$187&gt;=Engagement_Register!$AH$35))</f>
        <v>0</v>
      </c>
      <c r="P470" s="62" t="n">
        <f aca="false">Engagement_Register!$AP$35*(Assumptions!$C$146*(Assumptions!P$187&gt;=Engagement_Register!$AG$35)+Assumptions!$C$147*(Assumptions!P$187&gt;=Engagement_Register!$AI$35)+Assumptions!$C$148*(Assumptions!P$187&gt;=Engagement_Register!$AH$35))</f>
        <v>0</v>
      </c>
      <c r="Q470" s="62" t="n">
        <f aca="false">Engagement_Register!$AP$35*(Assumptions!$C$146*(Assumptions!Q$187&gt;=Engagement_Register!$AG$35)+Assumptions!$C$147*(Assumptions!Q$187&gt;=Engagement_Register!$AI$35)+Assumptions!$C$148*(Assumptions!Q$187&gt;=Engagement_Register!$AH$35))</f>
        <v>28350</v>
      </c>
      <c r="R470" s="62" t="n">
        <f aca="false">Engagement_Register!$AP$35*(Assumptions!$C$146*(Assumptions!R$187&gt;=Engagement_Register!$AG$35)+Assumptions!$C$147*(Assumptions!R$187&gt;=Engagement_Register!$AI$35)+Assumptions!$C$148*(Assumptions!R$187&gt;=Engagement_Register!$AH$35))</f>
        <v>28350</v>
      </c>
      <c r="S470" s="62" t="n">
        <f aca="false">Engagement_Register!$AP$35*(Assumptions!$C$146*(Assumptions!S$187&gt;=Engagement_Register!$AG$35)+Assumptions!$C$147*(Assumptions!S$187&gt;=Engagement_Register!$AI$35)+Assumptions!$C$148*(Assumptions!S$187&gt;=Engagement_Register!$AH$35))</f>
        <v>28350</v>
      </c>
      <c r="T470" s="62" t="n">
        <f aca="false">Engagement_Register!$AP$35*(Assumptions!$C$146*(Assumptions!T$187&gt;=Engagement_Register!$AG$35)+Assumptions!$C$147*(Assumptions!T$187&gt;=Engagement_Register!$AI$35)+Assumptions!$C$148*(Assumptions!T$187&gt;=Engagement_Register!$AH$35))</f>
        <v>66150</v>
      </c>
      <c r="U470" s="62" t="n">
        <f aca="false">Engagement_Register!$AP$35*(Assumptions!$C$146*(Assumptions!U$187&gt;=Engagement_Register!$AG$35)+Assumptions!$C$147*(Assumptions!U$187&gt;=Engagement_Register!$AI$35)+Assumptions!$C$148*(Assumptions!U$187&gt;=Engagement_Register!$AH$35))</f>
        <v>66150</v>
      </c>
      <c r="V470" s="62" t="n">
        <f aca="false">Engagement_Register!$AP$35*(Assumptions!$C$146*(Assumptions!V$187&gt;=Engagement_Register!$AG$35)+Assumptions!$C$147*(Assumptions!V$187&gt;=Engagement_Register!$AI$35)+Assumptions!$C$148*(Assumptions!V$187&gt;=Engagement_Register!$AH$35))</f>
        <v>94500</v>
      </c>
      <c r="W470" s="62" t="n">
        <f aca="false">Engagement_Register!$AP$35*(Assumptions!$C$146*(Assumptions!W$187&gt;=Engagement_Register!$AG$35)+Assumptions!$C$147*(Assumptions!W$187&gt;=Engagement_Register!$AI$35)+Assumptions!$C$148*(Assumptions!W$187&gt;=Engagement_Register!$AH$35))</f>
        <v>94500</v>
      </c>
      <c r="X470" s="62" t="n">
        <f aca="false">Engagement_Register!$AP$35*(Assumptions!$C$146*(Assumptions!X$187&gt;=Engagement_Register!$AG$35)+Assumptions!$C$147*(Assumptions!X$187&gt;=Engagement_Register!$AI$35)+Assumptions!$C$148*(Assumptions!X$187&gt;=Engagement_Register!$AH$35))</f>
        <v>94500</v>
      </c>
      <c r="Y470" s="62" t="n">
        <f aca="false">Engagement_Register!$AP$35*(Assumptions!$C$146*(Assumptions!Y$187&gt;=Engagement_Register!$AG$35)+Assumptions!$C$147*(Assumptions!Y$187&gt;=Engagement_Register!$AI$35)+Assumptions!$C$148*(Assumptions!Y$187&gt;=Engagement_Register!$AH$35))</f>
        <v>94500</v>
      </c>
      <c r="Z470" s="62" t="n">
        <f aca="false">Engagement_Register!$AP$35*(Assumptions!$C$146*(Assumptions!Z$187&gt;=Engagement_Register!$AG$35)+Assumptions!$C$147*(Assumptions!Z$187&gt;=Engagement_Register!$AI$35)+Assumptions!$C$148*(Assumptions!Z$187&gt;=Engagement_Register!$AH$35))</f>
        <v>94500</v>
      </c>
      <c r="AA470" s="62" t="n">
        <f aca="false">Engagement_Register!$AP$35*(Assumptions!$C$146*(Assumptions!AA$187&gt;=Engagement_Register!$AG$35)+Assumptions!$C$147*(Assumptions!AA$187&gt;=Engagement_Register!$AI$35)+Assumptions!$C$148*(Assumptions!AA$187&gt;=Engagement_Register!$AH$35))</f>
        <v>94500</v>
      </c>
      <c r="AB470" s="62" t="n">
        <f aca="false">Engagement_Register!$AP$35*(Assumptions!$C$146*(Assumptions!AB$187&gt;=Engagement_Register!$AG$35)+Assumptions!$C$147*(Assumptions!AB$187&gt;=Engagement_Register!$AI$35)+Assumptions!$C$148*(Assumptions!AB$187&gt;=Engagement_Register!$AH$35))</f>
        <v>94500</v>
      </c>
    </row>
    <row r="471" customFormat="false" ht="15" hidden="false" customHeight="false" outlineLevel="0" collapsed="false">
      <c r="A471" s="29" t="s">
        <v>838</v>
      </c>
      <c r="B471" s="60" t="s">
        <v>869</v>
      </c>
      <c r="C471" s="61" t="n">
        <f aca="false">SUM(E471:P471)</f>
        <v>0</v>
      </c>
      <c r="D471" s="61" t="n">
        <f aca="false">SUM(Q471:AB471)</f>
        <v>94500</v>
      </c>
      <c r="E471" s="62" t="n">
        <f aca="false">IF(E$5="A",0,MAX(0,E470-Engagement_Register!$V$35))</f>
        <v>0</v>
      </c>
      <c r="F471" s="71" t="n">
        <f aca="false">IF(F$5="A",0,MAX(0,F470-E472))</f>
        <v>0</v>
      </c>
      <c r="G471" s="71" t="n">
        <f aca="false">IF(G$5="A",0,MAX(0,G470-F472))</f>
        <v>0</v>
      </c>
      <c r="H471" s="71" t="n">
        <f aca="false">IF(H$5="A",0,MAX(0,H470-G472))</f>
        <v>0</v>
      </c>
      <c r="I471" s="71" t="n">
        <f aca="false">IF(I$5="A",0,MAX(0,I470-H472))</f>
        <v>0</v>
      </c>
      <c r="J471" s="71" t="n">
        <f aca="false">IF(J$5="A",0,MAX(0,J470-I472))</f>
        <v>0</v>
      </c>
      <c r="K471" s="71" t="n">
        <f aca="false">IF(K$5="A",0,MAX(0,K470-J472))</f>
        <v>0</v>
      </c>
      <c r="L471" s="71" t="n">
        <f aca="false">IF(L$5="A",0,MAX(0,L470-K472))</f>
        <v>0</v>
      </c>
      <c r="M471" s="71" t="n">
        <f aca="false">IF(M$5="A",0,MAX(0,M470-L472))</f>
        <v>0</v>
      </c>
      <c r="N471" s="71" t="n">
        <f aca="false">IF(N$5="A",0,MAX(0,N470-M472))</f>
        <v>0</v>
      </c>
      <c r="O471" s="71" t="n">
        <f aca="false">IF(O$5="A",0,MAX(0,O470-N472))</f>
        <v>0</v>
      </c>
      <c r="P471" s="71" t="n">
        <f aca="false">IF(P$5="A",0,MAX(0,P470-O472))</f>
        <v>0</v>
      </c>
      <c r="Q471" s="71" t="n">
        <f aca="false">IF(Q$5="A",0,MAX(0,Q470-P472))</f>
        <v>28350</v>
      </c>
      <c r="R471" s="71" t="n">
        <f aca="false">IF(R$5="A",0,MAX(0,R470-Q472))</f>
        <v>0</v>
      </c>
      <c r="S471" s="71" t="n">
        <f aca="false">IF(S$5="A",0,MAX(0,S470-R472))</f>
        <v>0</v>
      </c>
      <c r="T471" s="71" t="n">
        <f aca="false">IF(T$5="A",0,MAX(0,T470-S472))</f>
        <v>37800</v>
      </c>
      <c r="U471" s="71" t="n">
        <f aca="false">IF(U$5="A",0,MAX(0,U470-T472))</f>
        <v>0</v>
      </c>
      <c r="V471" s="71" t="n">
        <f aca="false">IF(V$5="A",0,MAX(0,V470-U472))</f>
        <v>28350</v>
      </c>
      <c r="W471" s="71" t="n">
        <f aca="false">IF(W$5="A",0,MAX(0,W470-V472))</f>
        <v>0</v>
      </c>
      <c r="X471" s="71" t="n">
        <f aca="false">IF(X$5="A",0,MAX(0,X470-W472))</f>
        <v>0</v>
      </c>
      <c r="Y471" s="71" t="n">
        <f aca="false">IF(Y$5="A",0,MAX(0,Y470-X472))</f>
        <v>0</v>
      </c>
      <c r="Z471" s="71" t="n">
        <f aca="false">IF(Z$5="A",0,MAX(0,Z470-Y472))</f>
        <v>0</v>
      </c>
      <c r="AA471" s="71" t="n">
        <f aca="false">IF(AA$5="A",0,MAX(0,AA470-Z472))</f>
        <v>0</v>
      </c>
      <c r="AB471" s="71" t="n">
        <f aca="false">IF(AB$5="A",0,MAX(0,AB470-AA472))</f>
        <v>0</v>
      </c>
    </row>
    <row r="472" customFormat="false" ht="15" hidden="false" customHeight="false" outlineLevel="0" collapsed="false">
      <c r="A472" s="29" t="s">
        <v>840</v>
      </c>
      <c r="B472" s="60"/>
      <c r="C472" s="61" t="n">
        <f aca="false">P472</f>
        <v>0</v>
      </c>
      <c r="D472" s="61" t="n">
        <f aca="false">AB472</f>
        <v>94500</v>
      </c>
      <c r="E472" s="62" t="n">
        <f aca="false">Engagement_Register!$V$35+E471</f>
        <v>0</v>
      </c>
      <c r="F472" s="71" t="n">
        <f aca="false">E472+F471</f>
        <v>0</v>
      </c>
      <c r="G472" s="71" t="n">
        <f aca="false">F472+G471</f>
        <v>0</v>
      </c>
      <c r="H472" s="71" t="n">
        <f aca="false">G472+H471</f>
        <v>0</v>
      </c>
      <c r="I472" s="71" t="n">
        <f aca="false">H472+I471</f>
        <v>0</v>
      </c>
      <c r="J472" s="71" t="n">
        <f aca="false">I472+J471</f>
        <v>0</v>
      </c>
      <c r="K472" s="71" t="n">
        <f aca="false">J472+K471</f>
        <v>0</v>
      </c>
      <c r="L472" s="71" t="n">
        <f aca="false">K472+L471</f>
        <v>0</v>
      </c>
      <c r="M472" s="71" t="n">
        <f aca="false">L472+M471</f>
        <v>0</v>
      </c>
      <c r="N472" s="71" t="n">
        <f aca="false">M472+N471</f>
        <v>0</v>
      </c>
      <c r="O472" s="71" t="n">
        <f aca="false">N472+O471</f>
        <v>0</v>
      </c>
      <c r="P472" s="71" t="n">
        <f aca="false">O472+P471</f>
        <v>0</v>
      </c>
      <c r="Q472" s="71" t="n">
        <f aca="false">P472+Q471</f>
        <v>28350</v>
      </c>
      <c r="R472" s="71" t="n">
        <f aca="false">Q472+R471</f>
        <v>28350</v>
      </c>
      <c r="S472" s="71" t="n">
        <f aca="false">R472+S471</f>
        <v>28350</v>
      </c>
      <c r="T472" s="71" t="n">
        <f aca="false">S472+T471</f>
        <v>66150</v>
      </c>
      <c r="U472" s="71" t="n">
        <f aca="false">T472+U471</f>
        <v>66150</v>
      </c>
      <c r="V472" s="71" t="n">
        <f aca="false">U472+V471</f>
        <v>94500</v>
      </c>
      <c r="W472" s="71" t="n">
        <f aca="false">V472+W471</f>
        <v>94500</v>
      </c>
      <c r="X472" s="71" t="n">
        <f aca="false">W472+X471</f>
        <v>94500</v>
      </c>
      <c r="Y472" s="71" t="n">
        <f aca="false">X472+Y471</f>
        <v>94500</v>
      </c>
      <c r="Z472" s="71" t="n">
        <f aca="false">Y472+Z471</f>
        <v>94500</v>
      </c>
      <c r="AA472" s="71" t="n">
        <f aca="false">Z472+AA471</f>
        <v>94500</v>
      </c>
      <c r="AB472" s="71" t="n">
        <f aca="false">AA472+AB471</f>
        <v>94500</v>
      </c>
    </row>
    <row r="473" customFormat="false" ht="15" hidden="false" customHeight="false" outlineLevel="0" collapsed="false">
      <c r="A473" s="29" t="s">
        <v>841</v>
      </c>
      <c r="B473" s="60" t="s">
        <v>842</v>
      </c>
      <c r="C473" s="61" t="n">
        <f aca="false">SUM(E473:P473)</f>
        <v>0</v>
      </c>
      <c r="D473" s="61" t="n">
        <f aca="false">SUM(Q473:AB473)</f>
        <v>6813.45</v>
      </c>
      <c r="E473" s="62" t="n">
        <f aca="false">IF(E$5="A",0,E37*Engagement_Register!$N$35*Assumptions!E$195)</f>
        <v>0</v>
      </c>
      <c r="F473" s="62" t="n">
        <f aca="false">IF(F$5="A",0,F37*Engagement_Register!$N$35*Assumptions!F$195)</f>
        <v>0</v>
      </c>
      <c r="G473" s="62" t="n">
        <f aca="false">IF(G$5="A",0,G37*Engagement_Register!$N$35*Assumptions!G$195)</f>
        <v>0</v>
      </c>
      <c r="H473" s="62" t="n">
        <f aca="false">IF(H$5="A",0,H37*Engagement_Register!$N$35*Assumptions!H$195)</f>
        <v>0</v>
      </c>
      <c r="I473" s="62" t="n">
        <f aca="false">IF(I$5="A",0,I37*Engagement_Register!$N$35*Assumptions!I$195)</f>
        <v>0</v>
      </c>
      <c r="J473" s="62" t="n">
        <f aca="false">IF(J$5="A",0,J37*Engagement_Register!$N$35*Assumptions!J$195)</f>
        <v>0</v>
      </c>
      <c r="K473" s="62" t="n">
        <f aca="false">IF(K$5="A",0,K37*Engagement_Register!$N$35*Assumptions!K$195)</f>
        <v>0</v>
      </c>
      <c r="L473" s="62" t="n">
        <f aca="false">IF(L$5="A",0,L37*Engagement_Register!$N$35*Assumptions!L$195)</f>
        <v>0</v>
      </c>
      <c r="M473" s="62" t="n">
        <f aca="false">IF(M$5="A",0,M37*Engagement_Register!$N$35*Assumptions!M$195)</f>
        <v>0</v>
      </c>
      <c r="N473" s="62" t="n">
        <f aca="false">IF(N$5="A",0,N37*Engagement_Register!$N$35*Assumptions!N$195)</f>
        <v>0</v>
      </c>
      <c r="O473" s="62" t="n">
        <f aca="false">IF(O$5="A",0,O37*Engagement_Register!$N$35*Assumptions!O$195)</f>
        <v>0</v>
      </c>
      <c r="P473" s="62" t="n">
        <f aca="false">IF(P$5="A",0,P37*Engagement_Register!$N$35*Assumptions!P$195)</f>
        <v>0</v>
      </c>
      <c r="Q473" s="62" t="n">
        <f aca="false">IF(Q$5="A",0,Q37*Engagement_Register!$N$35*Assumptions!Q$195)</f>
        <v>1069.82531894014</v>
      </c>
      <c r="R473" s="62" t="n">
        <f aca="false">IF(R$5="A",0,R37*Engagement_Register!$N$35*Assumptions!R$195)</f>
        <v>1103.25736015702</v>
      </c>
      <c r="S473" s="62" t="n">
        <f aca="false">IF(S$5="A",0,S37*Engagement_Register!$N$35*Assumptions!S$195)</f>
        <v>1183.49425907753</v>
      </c>
      <c r="T473" s="62" t="n">
        <f aca="false">IF(T$5="A",0,T37*Engagement_Register!$N$35*Assumptions!T$195)</f>
        <v>1236.98552502453</v>
      </c>
      <c r="U473" s="62" t="n">
        <f aca="false">IF(U$5="A",0,U37*Engagement_Register!$N$35*Assumptions!U$195)</f>
        <v>942.783562315996</v>
      </c>
      <c r="V473" s="62" t="n">
        <f aca="false">IF(V$5="A",0,V37*Engagement_Register!$N$35*Assumptions!V$195)</f>
        <v>1277.10397448479</v>
      </c>
      <c r="W473" s="62" t="n">
        <f aca="false">IF(W$5="A",0,W37*Engagement_Register!$N$35*Assumptions!W$195)</f>
        <v>0</v>
      </c>
      <c r="X473" s="62" t="n">
        <f aca="false">IF(X$5="A",0,X37*Engagement_Register!$N$35*Assumptions!X$195)</f>
        <v>0</v>
      </c>
      <c r="Y473" s="62" t="n">
        <f aca="false">IF(Y$5="A",0,Y37*Engagement_Register!$N$35*Assumptions!Y$195)</f>
        <v>0</v>
      </c>
      <c r="Z473" s="62" t="n">
        <f aca="false">IF(Z$5="A",0,Z37*Engagement_Register!$N$35*Assumptions!Z$195)</f>
        <v>0</v>
      </c>
      <c r="AA473" s="62" t="n">
        <f aca="false">IF(AA$5="A",0,AA37*Engagement_Register!$N$35*Assumptions!AA$195)</f>
        <v>0</v>
      </c>
      <c r="AB473" s="62" t="n">
        <f aca="false">IF(AB$5="A",0,AB37*Engagement_Register!$N$35*Assumptions!AB$195)</f>
        <v>0</v>
      </c>
    </row>
    <row r="474" customFormat="false" ht="15" hidden="false" customHeight="false" outlineLevel="0" collapsed="false">
      <c r="A474" s="29" t="s">
        <v>847</v>
      </c>
      <c r="B474" s="60" t="s">
        <v>848</v>
      </c>
      <c r="C474" s="61" t="n">
        <f aca="false">P474</f>
        <v>0</v>
      </c>
      <c r="D474" s="61" t="n">
        <f aca="false">AB474</f>
        <v>0</v>
      </c>
      <c r="E474" s="62" t="n">
        <f aca="false">Engagement_Register!$X$35+E469-E471</f>
        <v>0</v>
      </c>
      <c r="F474" s="71" t="n">
        <f aca="false">E474+F469-F471</f>
        <v>0</v>
      </c>
      <c r="G474" s="71" t="n">
        <f aca="false">F474+G469-G471</f>
        <v>0</v>
      </c>
      <c r="H474" s="71" t="n">
        <f aca="false">G474+H469-H471</f>
        <v>0</v>
      </c>
      <c r="I474" s="71" t="n">
        <f aca="false">H474+I469-I471</f>
        <v>0</v>
      </c>
      <c r="J474" s="71" t="n">
        <f aca="false">I474+J469-J471</f>
        <v>0</v>
      </c>
      <c r="K474" s="71" t="n">
        <f aca="false">J474+K469-K471</f>
        <v>0</v>
      </c>
      <c r="L474" s="71" t="n">
        <f aca="false">K474+L469-L471</f>
        <v>0</v>
      </c>
      <c r="M474" s="71" t="n">
        <f aca="false">L474+M469-M471</f>
        <v>0</v>
      </c>
      <c r="N474" s="71" t="n">
        <f aca="false">M474+N469-N471</f>
        <v>0</v>
      </c>
      <c r="O474" s="71" t="n">
        <f aca="false">N474+O469-O471</f>
        <v>0</v>
      </c>
      <c r="P474" s="71" t="n">
        <f aca="false">O474+P469-P471</f>
        <v>0</v>
      </c>
      <c r="Q474" s="71" t="n">
        <f aca="false">P474+Q469-Q471</f>
        <v>-13511.923454367</v>
      </c>
      <c r="R474" s="71" t="n">
        <f aca="false">Q474+R469-R471</f>
        <v>1789.84298331698</v>
      </c>
      <c r="S474" s="71" t="n">
        <f aca="false">R474+S469-S471</f>
        <v>18204.4651619235</v>
      </c>
      <c r="T474" s="71" t="n">
        <f aca="false">S474+T469-T471</f>
        <v>-2439.00883218843</v>
      </c>
      <c r="U474" s="71" t="n">
        <f aca="false">T474+U469-U471</f>
        <v>10637.0461236506</v>
      </c>
      <c r="V474" s="71" t="n">
        <f aca="false">U474+V469-V471</f>
        <v>0</v>
      </c>
      <c r="W474" s="71" t="n">
        <f aca="false">V474+W469-W471</f>
        <v>0</v>
      </c>
      <c r="X474" s="71" t="n">
        <f aca="false">W474+X469-X471</f>
        <v>0</v>
      </c>
      <c r="Y474" s="71" t="n">
        <f aca="false">X474+Y469-Y471</f>
        <v>0</v>
      </c>
      <c r="Z474" s="71" t="n">
        <f aca="false">Y474+Z469-Z471</f>
        <v>0</v>
      </c>
      <c r="AA474" s="71" t="n">
        <f aca="false">Z474+AA469-AA471</f>
        <v>0</v>
      </c>
      <c r="AB474" s="71" t="n">
        <f aca="false">AA474+AB469-AB471</f>
        <v>0</v>
      </c>
    </row>
    <row r="475" customFormat="false" ht="15" hidden="false" customHeight="false" outlineLevel="0" collapsed="false">
      <c r="A475" s="29" t="s">
        <v>890</v>
      </c>
      <c r="B475" s="60" t="s">
        <v>850</v>
      </c>
      <c r="C475" s="61" t="n">
        <f aca="false">P475</f>
        <v>94500</v>
      </c>
      <c r="D475" s="61" t="n">
        <f aca="false">AB475</f>
        <v>0</v>
      </c>
      <c r="E475" s="62" t="n">
        <f aca="false">MAX(0,Engagement_Register!$AP$35-E468)</f>
        <v>94500</v>
      </c>
      <c r="F475" s="62" t="n">
        <f aca="false">MAX(0,Engagement_Register!$AP$35-F468)</f>
        <v>94500</v>
      </c>
      <c r="G475" s="62" t="n">
        <f aca="false">MAX(0,Engagement_Register!$AP$35-G468)</f>
        <v>94500</v>
      </c>
      <c r="H475" s="62" t="n">
        <f aca="false">MAX(0,Engagement_Register!$AP$35-H468)</f>
        <v>94500</v>
      </c>
      <c r="I475" s="62" t="n">
        <f aca="false">MAX(0,Engagement_Register!$AP$35-I468)</f>
        <v>94500</v>
      </c>
      <c r="J475" s="62" t="n">
        <f aca="false">MAX(0,Engagement_Register!$AP$35-J468)</f>
        <v>94500</v>
      </c>
      <c r="K475" s="62" t="n">
        <f aca="false">MAX(0,Engagement_Register!$AP$35-K468)</f>
        <v>94500</v>
      </c>
      <c r="L475" s="62" t="n">
        <f aca="false">MAX(0,Engagement_Register!$AP$35-L468)</f>
        <v>94500</v>
      </c>
      <c r="M475" s="62" t="n">
        <f aca="false">MAX(0,Engagement_Register!$AP$35-M468)</f>
        <v>94500</v>
      </c>
      <c r="N475" s="62" t="n">
        <f aca="false">MAX(0,Engagement_Register!$AP$35-N468)</f>
        <v>94500</v>
      </c>
      <c r="O475" s="62" t="n">
        <f aca="false">MAX(0,Engagement_Register!$AP$35-O468)</f>
        <v>94500</v>
      </c>
      <c r="P475" s="62" t="n">
        <f aca="false">MAX(0,Engagement_Register!$AP$35-P468)</f>
        <v>94500</v>
      </c>
      <c r="Q475" s="62" t="n">
        <f aca="false">MAX(0,Engagement_Register!$AP$35-Q468)</f>
        <v>79661.923454367</v>
      </c>
      <c r="R475" s="62" t="n">
        <f aca="false">MAX(0,Engagement_Register!$AP$35-R468)</f>
        <v>64360.157016683</v>
      </c>
      <c r="S475" s="62" t="n">
        <f aca="false">MAX(0,Engagement_Register!$AP$35-S468)</f>
        <v>47945.5348380765</v>
      </c>
      <c r="T475" s="62" t="n">
        <f aca="false">MAX(0,Engagement_Register!$AP$35-T468)</f>
        <v>30789.0088321884</v>
      </c>
      <c r="U475" s="62" t="n">
        <f aca="false">MAX(0,Engagement_Register!$AP$35-U468)</f>
        <v>17712.9538763494</v>
      </c>
      <c r="V475" s="62" t="n">
        <f aca="false">MAX(0,Engagement_Register!$AP$35-V468)</f>
        <v>0</v>
      </c>
      <c r="W475" s="62" t="n">
        <f aca="false">MAX(0,Engagement_Register!$AP$35-W468)</f>
        <v>0</v>
      </c>
      <c r="X475" s="62" t="n">
        <f aca="false">MAX(0,Engagement_Register!$AP$35-X468)</f>
        <v>0</v>
      </c>
      <c r="Y475" s="62" t="n">
        <f aca="false">MAX(0,Engagement_Register!$AP$35-Y468)</f>
        <v>0</v>
      </c>
      <c r="Z475" s="62" t="n">
        <f aca="false">MAX(0,Engagement_Register!$AP$35-Z468)</f>
        <v>0</v>
      </c>
      <c r="AA475" s="62" t="n">
        <f aca="false">MAX(0,Engagement_Register!$AP$35-AA468)</f>
        <v>0</v>
      </c>
      <c r="AB475" s="62" t="n">
        <f aca="false">MAX(0,Engagement_Register!$AP$35-AB468)</f>
        <v>0</v>
      </c>
    </row>
    <row r="477" customFormat="false" ht="15" hidden="false" customHeight="false" outlineLevel="0" collapsed="false">
      <c r="A477" s="23" t="s">
        <v>896</v>
      </c>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row>
    <row r="478" customFormat="false" ht="15" hidden="false" customHeight="false" outlineLevel="0" collapsed="false">
      <c r="A478" s="29" t="s">
        <v>736</v>
      </c>
      <c r="B478" s="60" t="s">
        <v>832</v>
      </c>
      <c r="C478" s="66" t="n">
        <f aca="false">P478</f>
        <v>198.975369458128</v>
      </c>
      <c r="D478" s="66" t="n">
        <f aca="false">AB478</f>
        <v>1080</v>
      </c>
      <c r="E478" s="67" t="n">
        <f aca="false">Engagement_Register!$T$36+E38</f>
        <v>0</v>
      </c>
      <c r="F478" s="72" t="n">
        <f aca="false">E478+F38</f>
        <v>0</v>
      </c>
      <c r="G478" s="72" t="n">
        <f aca="false">F478+G38</f>
        <v>0</v>
      </c>
      <c r="H478" s="72" t="n">
        <f aca="false">G478+H38</f>
        <v>0</v>
      </c>
      <c r="I478" s="72" t="n">
        <f aca="false">H478+I38</f>
        <v>0</v>
      </c>
      <c r="J478" s="72" t="n">
        <f aca="false">I478+J38</f>
        <v>0</v>
      </c>
      <c r="K478" s="72" t="n">
        <f aca="false">J478+K38</f>
        <v>0</v>
      </c>
      <c r="L478" s="72" t="n">
        <f aca="false">K478+L38</f>
        <v>0</v>
      </c>
      <c r="M478" s="72" t="n">
        <f aca="false">L478+M38</f>
        <v>0</v>
      </c>
      <c r="N478" s="72" t="n">
        <f aca="false">M478+N38</f>
        <v>0</v>
      </c>
      <c r="O478" s="72" t="n">
        <f aca="false">N478+O38</f>
        <v>0</v>
      </c>
      <c r="P478" s="72" t="n">
        <f aca="false">O478+P38</f>
        <v>198.975369458128</v>
      </c>
      <c r="Q478" s="72" t="n">
        <f aca="false">P478+Q38</f>
        <v>369.221674876847</v>
      </c>
      <c r="R478" s="72" t="n">
        <f aca="false">Q478+R38</f>
        <v>544.788177339902</v>
      </c>
      <c r="S478" s="72" t="n">
        <f aca="false">R478+S38</f>
        <v>733.12315270936</v>
      </c>
      <c r="T478" s="72" t="n">
        <f aca="false">S478+T38</f>
        <v>929.970443349754</v>
      </c>
      <c r="U478" s="72" t="n">
        <f aca="false">T478+U38</f>
        <v>1080</v>
      </c>
      <c r="V478" s="72" t="n">
        <f aca="false">U478+V38</f>
        <v>1080</v>
      </c>
      <c r="W478" s="72" t="n">
        <f aca="false">V478+W38</f>
        <v>1080</v>
      </c>
      <c r="X478" s="72" t="n">
        <f aca="false">W478+X38</f>
        <v>1080</v>
      </c>
      <c r="Y478" s="72" t="n">
        <f aca="false">X478+Y38</f>
        <v>1080</v>
      </c>
      <c r="Z478" s="72" t="n">
        <f aca="false">Y478+Z38</f>
        <v>1080</v>
      </c>
      <c r="AA478" s="72" t="n">
        <f aca="false">Z478+AA38</f>
        <v>1080</v>
      </c>
      <c r="AB478" s="72" t="n">
        <f aca="false">AA478+AB38</f>
        <v>1080</v>
      </c>
    </row>
    <row r="479" customFormat="false" ht="15" hidden="false" customHeight="false" outlineLevel="0" collapsed="false">
      <c r="A479" s="29" t="s">
        <v>833</v>
      </c>
      <c r="B479" s="60" t="s">
        <v>834</v>
      </c>
      <c r="C479" s="61" t="n">
        <f aca="false">SUM(E479:P479)</f>
        <v>39138.4551724138</v>
      </c>
      <c r="D479" s="61" t="n">
        <f aca="false">SUM(Q479:AB479)</f>
        <v>180229.44662069</v>
      </c>
      <c r="E479" s="62" t="n">
        <f aca="false">E38*Engagement_Register!$AD$36*Assumptions!E$194</f>
        <v>0</v>
      </c>
      <c r="F479" s="62" t="n">
        <f aca="false">F38*Engagement_Register!$AD$36*Assumptions!F$194</f>
        <v>0</v>
      </c>
      <c r="G479" s="62" t="n">
        <f aca="false">G38*Engagement_Register!$AD$36*Assumptions!G$194</f>
        <v>0</v>
      </c>
      <c r="H479" s="62" t="n">
        <f aca="false">H38*Engagement_Register!$AD$36*Assumptions!H$194</f>
        <v>0</v>
      </c>
      <c r="I479" s="62" t="n">
        <f aca="false">I38*Engagement_Register!$AD$36*Assumptions!I$194</f>
        <v>0</v>
      </c>
      <c r="J479" s="62" t="n">
        <f aca="false">J38*Engagement_Register!$AD$36*Assumptions!J$194</f>
        <v>0</v>
      </c>
      <c r="K479" s="62" t="n">
        <f aca="false">K38*Engagement_Register!$AD$36*Assumptions!K$194</f>
        <v>0</v>
      </c>
      <c r="L479" s="62" t="n">
        <f aca="false">L38*Engagement_Register!$AD$36*Assumptions!L$194</f>
        <v>0</v>
      </c>
      <c r="M479" s="62" t="n">
        <f aca="false">M38*Engagement_Register!$AD$36*Assumptions!M$194</f>
        <v>0</v>
      </c>
      <c r="N479" s="62" t="n">
        <f aca="false">N38*Engagement_Register!$AD$36*Assumptions!N$194</f>
        <v>0</v>
      </c>
      <c r="O479" s="62" t="n">
        <f aca="false">O38*Engagement_Register!$AD$36*Assumptions!O$194</f>
        <v>0</v>
      </c>
      <c r="P479" s="62" t="n">
        <f aca="false">P38*Engagement_Register!$AD$36*Assumptions!P$194</f>
        <v>39138.4551724138</v>
      </c>
      <c r="Q479" s="62" t="n">
        <f aca="false">Q38*Engagement_Register!$AD$36*Assumptions!Q$194</f>
        <v>34826.9462068966</v>
      </c>
      <c r="R479" s="62" t="n">
        <f aca="false">R38*Engagement_Register!$AD$36*Assumptions!R$194</f>
        <v>35915.2882758621</v>
      </c>
      <c r="S479" s="62" t="n">
        <f aca="false">S38*Engagement_Register!$AD$36*Assumptions!S$194</f>
        <v>38527.3092413793</v>
      </c>
      <c r="T479" s="62" t="n">
        <f aca="false">T38*Engagement_Register!$AD$36*Assumptions!T$194</f>
        <v>40268.6565517242</v>
      </c>
      <c r="U479" s="62" t="n">
        <f aca="false">U38*Engagement_Register!$AD$36*Assumptions!U$194</f>
        <v>30691.2463448276</v>
      </c>
      <c r="V479" s="62" t="n">
        <f aca="false">V38*Engagement_Register!$AD$36*Assumptions!V$194</f>
        <v>0</v>
      </c>
      <c r="W479" s="62" t="n">
        <f aca="false">W38*Engagement_Register!$AD$36*Assumptions!W$194</f>
        <v>0</v>
      </c>
      <c r="X479" s="62" t="n">
        <f aca="false">X38*Engagement_Register!$AD$36*Assumptions!X$194</f>
        <v>0</v>
      </c>
      <c r="Y479" s="62" t="n">
        <f aca="false">Y38*Engagement_Register!$AD$36*Assumptions!Y$194</f>
        <v>0</v>
      </c>
      <c r="Z479" s="62" t="n">
        <f aca="false">Z38*Engagement_Register!$AD$36*Assumptions!Z$194</f>
        <v>0</v>
      </c>
      <c r="AA479" s="62" t="n">
        <f aca="false">AA38*Engagement_Register!$AD$36*Assumptions!AA$194</f>
        <v>0</v>
      </c>
      <c r="AB479" s="62" t="n">
        <f aca="false">AB38*Engagement_Register!$AD$36*Assumptions!AB$194</f>
        <v>0</v>
      </c>
    </row>
    <row r="480" customFormat="false" ht="15" hidden="false" customHeight="false" outlineLevel="0" collapsed="false">
      <c r="A480" s="29" t="s">
        <v>835</v>
      </c>
      <c r="B480" s="60" t="s">
        <v>836</v>
      </c>
      <c r="C480" s="61" t="n">
        <f aca="false">SUM(E480:P480)</f>
        <v>37181.5324137931</v>
      </c>
      <c r="D480" s="61" t="n">
        <f aca="false">SUM(Q480:AB480)</f>
        <v>171217.974289655</v>
      </c>
      <c r="E480" s="62" t="n">
        <f aca="false">E38*Engagement_Register!$AE$36*Assumptions!E$194</f>
        <v>0</v>
      </c>
      <c r="F480" s="62" t="n">
        <f aca="false">F38*Engagement_Register!$AE$36*Assumptions!F$194</f>
        <v>0</v>
      </c>
      <c r="G480" s="62" t="n">
        <f aca="false">G38*Engagement_Register!$AE$36*Assumptions!G$194</f>
        <v>0</v>
      </c>
      <c r="H480" s="62" t="n">
        <f aca="false">H38*Engagement_Register!$AE$36*Assumptions!H$194</f>
        <v>0</v>
      </c>
      <c r="I480" s="62" t="n">
        <f aca="false">I38*Engagement_Register!$AE$36*Assumptions!I$194</f>
        <v>0</v>
      </c>
      <c r="J480" s="62" t="n">
        <f aca="false">J38*Engagement_Register!$AE$36*Assumptions!J$194</f>
        <v>0</v>
      </c>
      <c r="K480" s="62" t="n">
        <f aca="false">K38*Engagement_Register!$AE$36*Assumptions!K$194</f>
        <v>0</v>
      </c>
      <c r="L480" s="62" t="n">
        <f aca="false">L38*Engagement_Register!$AE$36*Assumptions!L$194</f>
        <v>0</v>
      </c>
      <c r="M480" s="62" t="n">
        <f aca="false">M38*Engagement_Register!$AE$36*Assumptions!M$194</f>
        <v>0</v>
      </c>
      <c r="N480" s="62" t="n">
        <f aca="false">N38*Engagement_Register!$AE$36*Assumptions!N$194</f>
        <v>0</v>
      </c>
      <c r="O480" s="62" t="n">
        <f aca="false">O38*Engagement_Register!$AE$36*Assumptions!O$194</f>
        <v>0</v>
      </c>
      <c r="P480" s="62" t="n">
        <f aca="false">P38*Engagement_Register!$AE$36*Assumptions!P$194</f>
        <v>37181.5324137931</v>
      </c>
      <c r="Q480" s="62" t="n">
        <f aca="false">Q38*Engagement_Register!$AE$36*Assumptions!Q$194</f>
        <v>33085.5988965517</v>
      </c>
      <c r="R480" s="62" t="n">
        <f aca="false">R38*Engagement_Register!$AE$36*Assumptions!R$194</f>
        <v>34119.523862069</v>
      </c>
      <c r="S480" s="62" t="n">
        <f aca="false">S38*Engagement_Register!$AE$36*Assumptions!S$194</f>
        <v>36600.9437793104</v>
      </c>
      <c r="T480" s="62" t="n">
        <f aca="false">T38*Engagement_Register!$AE$36*Assumptions!T$194</f>
        <v>38255.2237241379</v>
      </c>
      <c r="U480" s="62" t="n">
        <f aca="false">U38*Engagement_Register!$AE$36*Assumptions!U$194</f>
        <v>29156.6840275862</v>
      </c>
      <c r="V480" s="62" t="n">
        <f aca="false">V38*Engagement_Register!$AE$36*Assumptions!V$194</f>
        <v>0</v>
      </c>
      <c r="W480" s="62" t="n">
        <f aca="false">W38*Engagement_Register!$AE$36*Assumptions!W$194</f>
        <v>0</v>
      </c>
      <c r="X480" s="62" t="n">
        <f aca="false">X38*Engagement_Register!$AE$36*Assumptions!X$194</f>
        <v>0</v>
      </c>
      <c r="Y480" s="62" t="n">
        <f aca="false">Y38*Engagement_Register!$AE$36*Assumptions!Y$194</f>
        <v>0</v>
      </c>
      <c r="Z480" s="62" t="n">
        <f aca="false">Z38*Engagement_Register!$AE$36*Assumptions!Z$194</f>
        <v>0</v>
      </c>
      <c r="AA480" s="62" t="n">
        <f aca="false">AA38*Engagement_Register!$AE$36*Assumptions!AA$194</f>
        <v>0</v>
      </c>
      <c r="AB480" s="62" t="n">
        <f aca="false">AB38*Engagement_Register!$AE$36*Assumptions!AB$194</f>
        <v>0</v>
      </c>
    </row>
    <row r="481" customFormat="false" ht="15" hidden="false" customHeight="false" outlineLevel="0" collapsed="false">
      <c r="A481" s="68" t="s">
        <v>349</v>
      </c>
      <c r="B481" s="69" t="s">
        <v>837</v>
      </c>
      <c r="C481" s="70" t="n">
        <f aca="false">SUM(E481:P481)</f>
        <v>36066.0864413793</v>
      </c>
      <c r="D481" s="70" t="n">
        <f aca="false">SUM(Q481:AB481)</f>
        <v>166081.435060966</v>
      </c>
      <c r="E481" s="74" t="n">
        <f aca="false">IF(E$5="A",0,E480*(1-Engagement_Register!$AS$36))</f>
        <v>0</v>
      </c>
      <c r="F481" s="74" t="n">
        <f aca="false">IF(F$5="A",0,F480*(1-Engagement_Register!$AS$36))</f>
        <v>0</v>
      </c>
      <c r="G481" s="74" t="n">
        <f aca="false">IF(G$5="A",0,G480*(1-Engagement_Register!$AS$36))</f>
        <v>0</v>
      </c>
      <c r="H481" s="74" t="n">
        <f aca="false">IF(H$5="A",0,H480*(1-Engagement_Register!$AS$36))</f>
        <v>0</v>
      </c>
      <c r="I481" s="74" t="n">
        <f aca="false">IF(I$5="A",0,I480*(1-Engagement_Register!$AS$36))</f>
        <v>0</v>
      </c>
      <c r="J481" s="74" t="n">
        <f aca="false">IF(J$5="A",0,J480*(1-Engagement_Register!$AS$36))</f>
        <v>0</v>
      </c>
      <c r="K481" s="74" t="n">
        <f aca="false">IF(K$5="A",0,K480*(1-Engagement_Register!$AS$36))</f>
        <v>0</v>
      </c>
      <c r="L481" s="74" t="n">
        <f aca="false">IF(L$5="A",0,L480*(1-Engagement_Register!$AS$36))</f>
        <v>0</v>
      </c>
      <c r="M481" s="74" t="n">
        <f aca="false">IF(M$5="A",0,M480*(1-Engagement_Register!$AS$36))</f>
        <v>0</v>
      </c>
      <c r="N481" s="74" t="n">
        <f aca="false">IF(N$5="A",0,N480*(1-Engagement_Register!$AS$36))</f>
        <v>0</v>
      </c>
      <c r="O481" s="74" t="n">
        <f aca="false">IF(O$5="A",0,O480*(1-Engagement_Register!$AS$36))</f>
        <v>0</v>
      </c>
      <c r="P481" s="74" t="n">
        <f aca="false">IF(P$5="A",0,P480*(1-Engagement_Register!$AS$36))</f>
        <v>36066.0864413793</v>
      </c>
      <c r="Q481" s="74" t="n">
        <f aca="false">IF(Q$5="A",0,Q480*(1-Engagement_Register!$AS$36))</f>
        <v>32093.0309296552</v>
      </c>
      <c r="R481" s="74" t="n">
        <f aca="false">IF(R$5="A",0,R480*(1-Engagement_Register!$AS$36))</f>
        <v>33095.9381462069</v>
      </c>
      <c r="S481" s="74" t="n">
        <f aca="false">IF(S$5="A",0,S480*(1-Engagement_Register!$AS$36))</f>
        <v>35502.915465931</v>
      </c>
      <c r="T481" s="74" t="n">
        <f aca="false">IF(T$5="A",0,T480*(1-Engagement_Register!$AS$36))</f>
        <v>37107.5670124138</v>
      </c>
      <c r="U481" s="74" t="n">
        <f aca="false">IF(U$5="A",0,U480*(1-Engagement_Register!$AS$36))</f>
        <v>28281.9835067586</v>
      </c>
      <c r="V481" s="74" t="n">
        <f aca="false">IF(V$5="A",0,V480*(1-Engagement_Register!$AS$36))</f>
        <v>0</v>
      </c>
      <c r="W481" s="74" t="n">
        <f aca="false">IF(W$5="A",0,W480*(1-Engagement_Register!$AS$36))</f>
        <v>0</v>
      </c>
      <c r="X481" s="74" t="n">
        <f aca="false">IF(X$5="A",0,X480*(1-Engagement_Register!$AS$36))</f>
        <v>0</v>
      </c>
      <c r="Y481" s="74" t="n">
        <f aca="false">IF(Y$5="A",0,Y480*(1-Engagement_Register!$AS$36))</f>
        <v>0</v>
      </c>
      <c r="Z481" s="74" t="n">
        <f aca="false">IF(Z$5="A",0,Z480*(1-Engagement_Register!$AS$36))</f>
        <v>0</v>
      </c>
      <c r="AA481" s="74" t="n">
        <f aca="false">IF(AA$5="A",0,AA480*(1-Engagement_Register!$AS$36))</f>
        <v>0</v>
      </c>
      <c r="AB481" s="74" t="n">
        <f aca="false">IF(AB$5="A",0,AB480*(1-Engagement_Register!$AS$36))</f>
        <v>0</v>
      </c>
    </row>
    <row r="482" customFormat="false" ht="15" hidden="false" customHeight="false" outlineLevel="0" collapsed="false">
      <c r="A482" s="29" t="s">
        <v>838</v>
      </c>
      <c r="B482" s="60" t="s">
        <v>839</v>
      </c>
      <c r="C482" s="61" t="n">
        <f aca="false">SUM(E482:P482)</f>
        <v>0</v>
      </c>
      <c r="D482" s="61" t="n">
        <f aca="false">SUM(Q482:AB482)</f>
        <v>202147.521502345</v>
      </c>
      <c r="E482" s="71" t="n">
        <f aca="false">IF(E$5="A",0,0)</f>
        <v>0</v>
      </c>
      <c r="F482" s="71" t="n">
        <f aca="false">IF(F$5="A",0,E481)</f>
        <v>0</v>
      </c>
      <c r="G482" s="71" t="n">
        <f aca="false">IF(G$5="A",0,F481)</f>
        <v>0</v>
      </c>
      <c r="H482" s="71" t="n">
        <f aca="false">IF(H$5="A",0,G481)</f>
        <v>0</v>
      </c>
      <c r="I482" s="71" t="n">
        <f aca="false">IF(I$5="A",0,H481)</f>
        <v>0</v>
      </c>
      <c r="J482" s="71" t="n">
        <f aca="false">IF(J$5="A",0,I481)</f>
        <v>0</v>
      </c>
      <c r="K482" s="71" t="n">
        <f aca="false">IF(K$5="A",0,J481)</f>
        <v>0</v>
      </c>
      <c r="L482" s="71" t="n">
        <f aca="false">IF(L$5="A",0,K481)</f>
        <v>0</v>
      </c>
      <c r="M482" s="71" t="n">
        <f aca="false">IF(M$5="A",0,L481)</f>
        <v>0</v>
      </c>
      <c r="N482" s="71" t="n">
        <f aca="false">IF(N$5="A",0,M481)</f>
        <v>0</v>
      </c>
      <c r="O482" s="71" t="n">
        <f aca="false">IF(O$5="A",0,N481)</f>
        <v>0</v>
      </c>
      <c r="P482" s="71" t="n">
        <f aca="false">IF(P$5="A",0,O481)</f>
        <v>0</v>
      </c>
      <c r="Q482" s="71" t="n">
        <f aca="false">IF(Q$5="A",0,P481)</f>
        <v>36066.0864413793</v>
      </c>
      <c r="R482" s="71" t="n">
        <f aca="false">IF(R$5="A",0,Q481)</f>
        <v>32093.0309296552</v>
      </c>
      <c r="S482" s="71" t="n">
        <f aca="false">IF(S$5="A",0,R481)</f>
        <v>33095.9381462069</v>
      </c>
      <c r="T482" s="71" t="n">
        <f aca="false">IF(T$5="A",0,S481)</f>
        <v>35502.915465931</v>
      </c>
      <c r="U482" s="71" t="n">
        <f aca="false">IF(U$5="A",0,T481)</f>
        <v>37107.5670124138</v>
      </c>
      <c r="V482" s="71" t="n">
        <f aca="false">IF(V$5="A",0,U481)</f>
        <v>28281.9835067586</v>
      </c>
      <c r="W482" s="71" t="n">
        <f aca="false">IF(W$5="A",0,V481)</f>
        <v>0</v>
      </c>
      <c r="X482" s="71" t="n">
        <f aca="false">IF(X$5="A",0,W481)</f>
        <v>0</v>
      </c>
      <c r="Y482" s="71" t="n">
        <f aca="false">IF(Y$5="A",0,X481)</f>
        <v>0</v>
      </c>
      <c r="Z482" s="71" t="n">
        <f aca="false">IF(Z$5="A",0,Y481)</f>
        <v>0</v>
      </c>
      <c r="AA482" s="71" t="n">
        <f aca="false">IF(AA$5="A",0,Z481)</f>
        <v>0</v>
      </c>
      <c r="AB482" s="71" t="n">
        <f aca="false">IF(AB$5="A",0,AA481)</f>
        <v>0</v>
      </c>
    </row>
    <row r="483" customFormat="false" ht="15" hidden="false" customHeight="false" outlineLevel="0" collapsed="false">
      <c r="A483" s="29" t="s">
        <v>840</v>
      </c>
      <c r="B483" s="60"/>
      <c r="C483" s="61" t="n">
        <f aca="false">P483</f>
        <v>0</v>
      </c>
      <c r="D483" s="61" t="n">
        <f aca="false">AB483</f>
        <v>202147.521502345</v>
      </c>
      <c r="E483" s="62" t="n">
        <f aca="false">Engagement_Register!$V$36+E482</f>
        <v>0</v>
      </c>
      <c r="F483" s="71" t="n">
        <f aca="false">E483+F482</f>
        <v>0</v>
      </c>
      <c r="G483" s="71" t="n">
        <f aca="false">F483+G482</f>
        <v>0</v>
      </c>
      <c r="H483" s="71" t="n">
        <f aca="false">G483+H482</f>
        <v>0</v>
      </c>
      <c r="I483" s="71" t="n">
        <f aca="false">H483+I482</f>
        <v>0</v>
      </c>
      <c r="J483" s="71" t="n">
        <f aca="false">I483+J482</f>
        <v>0</v>
      </c>
      <c r="K483" s="71" t="n">
        <f aca="false">J483+K482</f>
        <v>0</v>
      </c>
      <c r="L483" s="71" t="n">
        <f aca="false">K483+L482</f>
        <v>0</v>
      </c>
      <c r="M483" s="71" t="n">
        <f aca="false">L483+M482</f>
        <v>0</v>
      </c>
      <c r="N483" s="71" t="n">
        <f aca="false">M483+N482</f>
        <v>0</v>
      </c>
      <c r="O483" s="71" t="n">
        <f aca="false">N483+O482</f>
        <v>0</v>
      </c>
      <c r="P483" s="71" t="n">
        <f aca="false">O483+P482</f>
        <v>0</v>
      </c>
      <c r="Q483" s="71" t="n">
        <f aca="false">P483+Q482</f>
        <v>36066.0864413793</v>
      </c>
      <c r="R483" s="71" t="n">
        <f aca="false">Q483+R482</f>
        <v>68159.1173710345</v>
      </c>
      <c r="S483" s="71" t="n">
        <f aca="false">R483+S482</f>
        <v>101255.055517241</v>
      </c>
      <c r="T483" s="71" t="n">
        <f aca="false">S483+T482</f>
        <v>136757.970983172</v>
      </c>
      <c r="U483" s="71" t="n">
        <f aca="false">T483+U482</f>
        <v>173865.537995586</v>
      </c>
      <c r="V483" s="71" t="n">
        <f aca="false">U483+V482</f>
        <v>202147.521502345</v>
      </c>
      <c r="W483" s="71" t="n">
        <f aca="false">V483+W482</f>
        <v>202147.521502345</v>
      </c>
      <c r="X483" s="71" t="n">
        <f aca="false">W483+X482</f>
        <v>202147.521502345</v>
      </c>
      <c r="Y483" s="71" t="n">
        <f aca="false">X483+Y482</f>
        <v>202147.521502345</v>
      </c>
      <c r="Z483" s="71" t="n">
        <f aca="false">Y483+Z482</f>
        <v>202147.521502345</v>
      </c>
      <c r="AA483" s="71" t="n">
        <f aca="false">Z483+AA482</f>
        <v>202147.521502345</v>
      </c>
      <c r="AB483" s="71" t="n">
        <f aca="false">AA483+AB482</f>
        <v>202147.521502345</v>
      </c>
    </row>
    <row r="484" customFormat="false" ht="15" hidden="false" customHeight="false" outlineLevel="0" collapsed="false">
      <c r="A484" s="29" t="s">
        <v>841</v>
      </c>
      <c r="B484" s="60" t="s">
        <v>842</v>
      </c>
      <c r="C484" s="61" t="n">
        <f aca="false">SUM(E484:P484)</f>
        <v>4377.45812807882</v>
      </c>
      <c r="D484" s="61" t="n">
        <f aca="false">SUM(Q484:AB484)</f>
        <v>19964.0181280788</v>
      </c>
      <c r="E484" s="62" t="n">
        <f aca="false">IF(E$5="A",0,E38*Engagement_Register!$N$36*Assumptions!E$195)</f>
        <v>0</v>
      </c>
      <c r="F484" s="62" t="n">
        <f aca="false">IF(F$5="A",0,F38*Engagement_Register!$N$36*Assumptions!F$195)</f>
        <v>0</v>
      </c>
      <c r="G484" s="62" t="n">
        <f aca="false">IF(G$5="A",0,G38*Engagement_Register!$N$36*Assumptions!G$195)</f>
        <v>0</v>
      </c>
      <c r="H484" s="62" t="n">
        <f aca="false">IF(H$5="A",0,H38*Engagement_Register!$N$36*Assumptions!H$195)</f>
        <v>0</v>
      </c>
      <c r="I484" s="62" t="n">
        <f aca="false">IF(I$5="A",0,I38*Engagement_Register!$N$36*Assumptions!I$195)</f>
        <v>0</v>
      </c>
      <c r="J484" s="62" t="n">
        <f aca="false">IF(J$5="A",0,J38*Engagement_Register!$N$36*Assumptions!J$195)</f>
        <v>0</v>
      </c>
      <c r="K484" s="62" t="n">
        <f aca="false">IF(K$5="A",0,K38*Engagement_Register!$N$36*Assumptions!K$195)</f>
        <v>0</v>
      </c>
      <c r="L484" s="62" t="n">
        <f aca="false">IF(L$5="A",0,L38*Engagement_Register!$N$36*Assumptions!L$195)</f>
        <v>0</v>
      </c>
      <c r="M484" s="62" t="n">
        <f aca="false">IF(M$5="A",0,M38*Engagement_Register!$N$36*Assumptions!M$195)</f>
        <v>0</v>
      </c>
      <c r="N484" s="62" t="n">
        <f aca="false">IF(N$5="A",0,N38*Engagement_Register!$N$36*Assumptions!N$195)</f>
        <v>0</v>
      </c>
      <c r="O484" s="62" t="n">
        <f aca="false">IF(O$5="A",0,O38*Engagement_Register!$N$36*Assumptions!O$195)</f>
        <v>0</v>
      </c>
      <c r="P484" s="62" t="n">
        <f aca="false">IF(P$5="A",0,P38*Engagement_Register!$N$36*Assumptions!P$195)</f>
        <v>4377.45812807882</v>
      </c>
      <c r="Q484" s="62" t="n">
        <f aca="false">IF(Q$5="A",0,Q38*Engagement_Register!$N$36*Assumptions!Q$195)</f>
        <v>3857.78128078818</v>
      </c>
      <c r="R484" s="62" t="n">
        <f aca="false">IF(R$5="A",0,R38*Engagement_Register!$N$36*Assumptions!R$195)</f>
        <v>3978.33694581281</v>
      </c>
      <c r="S484" s="62" t="n">
        <f aca="false">IF(S$5="A",0,S38*Engagement_Register!$N$36*Assumptions!S$195)</f>
        <v>4267.67054187192</v>
      </c>
      <c r="T484" s="62" t="n">
        <f aca="false">IF(T$5="A",0,T38*Engagement_Register!$N$36*Assumptions!T$195)</f>
        <v>4460.55960591133</v>
      </c>
      <c r="U484" s="62" t="n">
        <f aca="false">IF(U$5="A",0,U38*Engagement_Register!$N$36*Assumptions!U$195)</f>
        <v>3399.66975369458</v>
      </c>
      <c r="V484" s="62" t="n">
        <f aca="false">IF(V$5="A",0,V38*Engagement_Register!$N$36*Assumptions!V$195)</f>
        <v>0</v>
      </c>
      <c r="W484" s="62" t="n">
        <f aca="false">IF(W$5="A",0,W38*Engagement_Register!$N$36*Assumptions!W$195)</f>
        <v>0</v>
      </c>
      <c r="X484" s="62" t="n">
        <f aca="false">IF(X$5="A",0,X38*Engagement_Register!$N$36*Assumptions!X$195)</f>
        <v>0</v>
      </c>
      <c r="Y484" s="62" t="n">
        <f aca="false">IF(Y$5="A",0,Y38*Engagement_Register!$N$36*Assumptions!Y$195)</f>
        <v>0</v>
      </c>
      <c r="Z484" s="62" t="n">
        <f aca="false">IF(Z$5="A",0,Z38*Engagement_Register!$N$36*Assumptions!Z$195)</f>
        <v>0</v>
      </c>
      <c r="AA484" s="62" t="n">
        <f aca="false">IF(AA$5="A",0,AA38*Engagement_Register!$N$36*Assumptions!AA$195)</f>
        <v>0</v>
      </c>
      <c r="AB484" s="62" t="n">
        <f aca="false">IF(AB$5="A",0,AB38*Engagement_Register!$N$36*Assumptions!AB$195)</f>
        <v>0</v>
      </c>
    </row>
    <row r="485" customFormat="false" ht="15" hidden="false" customHeight="false" outlineLevel="0" collapsed="false">
      <c r="A485" s="29" t="s">
        <v>843</v>
      </c>
      <c r="B485" s="60" t="s">
        <v>844</v>
      </c>
      <c r="C485" s="61" t="n">
        <f aca="false">SUM(E485:P485)</f>
        <v>4377.45812807882</v>
      </c>
      <c r="D485" s="61" t="n">
        <f aca="false">SUM(Q485:AB485)</f>
        <v>19964.0181280788</v>
      </c>
      <c r="E485" s="71" t="n">
        <f aca="false">E484</f>
        <v>0</v>
      </c>
      <c r="F485" s="71" t="n">
        <f aca="false">F484</f>
        <v>0</v>
      </c>
      <c r="G485" s="71" t="n">
        <f aca="false">G484</f>
        <v>0</v>
      </c>
      <c r="H485" s="71" t="n">
        <f aca="false">H484</f>
        <v>0</v>
      </c>
      <c r="I485" s="71" t="n">
        <f aca="false">I484</f>
        <v>0</v>
      </c>
      <c r="J485" s="71" t="n">
        <f aca="false">J484</f>
        <v>0</v>
      </c>
      <c r="K485" s="71" t="n">
        <f aca="false">K484</f>
        <v>0</v>
      </c>
      <c r="L485" s="71" t="n">
        <f aca="false">L484</f>
        <v>0</v>
      </c>
      <c r="M485" s="71" t="n">
        <f aca="false">M484</f>
        <v>0</v>
      </c>
      <c r="N485" s="71" t="n">
        <f aca="false">N484</f>
        <v>0</v>
      </c>
      <c r="O485" s="71" t="n">
        <f aca="false">O484</f>
        <v>0</v>
      </c>
      <c r="P485" s="71" t="n">
        <f aca="false">P484</f>
        <v>4377.45812807882</v>
      </c>
      <c r="Q485" s="71" t="n">
        <f aca="false">Q484</f>
        <v>3857.78128078818</v>
      </c>
      <c r="R485" s="71" t="n">
        <f aca="false">R484</f>
        <v>3978.33694581281</v>
      </c>
      <c r="S485" s="71" t="n">
        <f aca="false">S484</f>
        <v>4267.67054187192</v>
      </c>
      <c r="T485" s="71" t="n">
        <f aca="false">T484</f>
        <v>4460.55960591133</v>
      </c>
      <c r="U485" s="71" t="n">
        <f aca="false">U484</f>
        <v>3399.66975369458</v>
      </c>
      <c r="V485" s="71" t="n">
        <f aca="false">V484</f>
        <v>0</v>
      </c>
      <c r="W485" s="71" t="n">
        <f aca="false">W484</f>
        <v>0</v>
      </c>
      <c r="X485" s="71" t="n">
        <f aca="false">X484</f>
        <v>0</v>
      </c>
      <c r="Y485" s="71" t="n">
        <f aca="false">Y484</f>
        <v>0</v>
      </c>
      <c r="Z485" s="71" t="n">
        <f aca="false">Z484</f>
        <v>0</v>
      </c>
      <c r="AA485" s="71" t="n">
        <f aca="false">AA484</f>
        <v>0</v>
      </c>
      <c r="AB485" s="71" t="n">
        <f aca="false">AB484</f>
        <v>0</v>
      </c>
    </row>
    <row r="486" customFormat="false" ht="15" hidden="false" customHeight="false" outlineLevel="0" collapsed="false">
      <c r="A486" s="29" t="s">
        <v>845</v>
      </c>
      <c r="B486" s="60" t="s">
        <v>846</v>
      </c>
      <c r="C486" s="61" t="n">
        <f aca="false">SUM(E486:P486)</f>
        <v>0</v>
      </c>
      <c r="D486" s="61" t="n">
        <f aca="false">SUM(Q486:AB486)</f>
        <v>24341.4762561576</v>
      </c>
      <c r="E486" s="71" t="n">
        <f aca="false">IF(E$5="A",0,0)</f>
        <v>0</v>
      </c>
      <c r="F486" s="71" t="n">
        <f aca="false">IF(F$5="A",0,E485)</f>
        <v>0</v>
      </c>
      <c r="G486" s="71" t="n">
        <f aca="false">IF(G$5="A",0,F485)</f>
        <v>0</v>
      </c>
      <c r="H486" s="71" t="n">
        <f aca="false">IF(H$5="A",0,G485)</f>
        <v>0</v>
      </c>
      <c r="I486" s="71" t="n">
        <f aca="false">IF(I$5="A",0,H485)</f>
        <v>0</v>
      </c>
      <c r="J486" s="71" t="n">
        <f aca="false">IF(J$5="A",0,I485)</f>
        <v>0</v>
      </c>
      <c r="K486" s="71" t="n">
        <f aca="false">IF(K$5="A",0,J485)</f>
        <v>0</v>
      </c>
      <c r="L486" s="71" t="n">
        <f aca="false">IF(L$5="A",0,K485)</f>
        <v>0</v>
      </c>
      <c r="M486" s="71" t="n">
        <f aca="false">IF(M$5="A",0,L485)</f>
        <v>0</v>
      </c>
      <c r="N486" s="71" t="n">
        <f aca="false">IF(N$5="A",0,M485)</f>
        <v>0</v>
      </c>
      <c r="O486" s="71" t="n">
        <f aca="false">IF(O$5="A",0,N485)</f>
        <v>0</v>
      </c>
      <c r="P486" s="71" t="n">
        <f aca="false">IF(P$5="A",0,O485)</f>
        <v>0</v>
      </c>
      <c r="Q486" s="71" t="n">
        <f aca="false">IF(Q$5="A",0,P485)</f>
        <v>4377.45812807882</v>
      </c>
      <c r="R486" s="71" t="n">
        <f aca="false">IF(R$5="A",0,Q485)</f>
        <v>3857.78128078818</v>
      </c>
      <c r="S486" s="71" t="n">
        <f aca="false">IF(S$5="A",0,R485)</f>
        <v>3978.33694581281</v>
      </c>
      <c r="T486" s="71" t="n">
        <f aca="false">IF(T$5="A",0,S485)</f>
        <v>4267.67054187192</v>
      </c>
      <c r="U486" s="71" t="n">
        <f aca="false">IF(U$5="A",0,T485)</f>
        <v>4460.55960591133</v>
      </c>
      <c r="V486" s="71" t="n">
        <f aca="false">IF(V$5="A",0,U485)</f>
        <v>3399.66975369458</v>
      </c>
      <c r="W486" s="71" t="n">
        <f aca="false">IF(W$5="A",0,V485)</f>
        <v>0</v>
      </c>
      <c r="X486" s="71" t="n">
        <f aca="false">IF(X$5="A",0,W485)</f>
        <v>0</v>
      </c>
      <c r="Y486" s="71" t="n">
        <f aca="false">IF(Y$5="A",0,X485)</f>
        <v>0</v>
      </c>
      <c r="Z486" s="71" t="n">
        <f aca="false">IF(Z$5="A",0,Y485)</f>
        <v>0</v>
      </c>
      <c r="AA486" s="71" t="n">
        <f aca="false">IF(AA$5="A",0,Z485)</f>
        <v>0</v>
      </c>
      <c r="AB486" s="71" t="n">
        <f aca="false">IF(AB$5="A",0,AA485)</f>
        <v>0</v>
      </c>
    </row>
    <row r="487" customFormat="false" ht="15" hidden="false" customHeight="false" outlineLevel="0" collapsed="false">
      <c r="A487" s="29" t="s">
        <v>847</v>
      </c>
      <c r="B487" s="60" t="s">
        <v>848</v>
      </c>
      <c r="C487" s="61" t="n">
        <f aca="false">P487</f>
        <v>40443.5445694581</v>
      </c>
      <c r="D487" s="61" t="n">
        <f aca="false">AB487</f>
        <v>0</v>
      </c>
      <c r="E487" s="62" t="n">
        <f aca="false">Engagement_Register!$X$36+E481+E485-E486-E482</f>
        <v>0</v>
      </c>
      <c r="F487" s="71" t="n">
        <f aca="false">E487+F481+F485-F486-F482</f>
        <v>0</v>
      </c>
      <c r="G487" s="71" t="n">
        <f aca="false">F487+G481+G485-G486-G482</f>
        <v>0</v>
      </c>
      <c r="H487" s="71" t="n">
        <f aca="false">G487+H481+H485-H486-H482</f>
        <v>0</v>
      </c>
      <c r="I487" s="71" t="n">
        <f aca="false">H487+I481+I485-I486-I482</f>
        <v>0</v>
      </c>
      <c r="J487" s="71" t="n">
        <f aca="false">I487+J481+J485-J486-J482</f>
        <v>0</v>
      </c>
      <c r="K487" s="71" t="n">
        <f aca="false">J487+K481+K485-K486-K482</f>
        <v>0</v>
      </c>
      <c r="L487" s="71" t="n">
        <f aca="false">K487+L481+L485-L486-L482</f>
        <v>0</v>
      </c>
      <c r="M487" s="71" t="n">
        <f aca="false">L487+M481+M485-M486-M482</f>
        <v>0</v>
      </c>
      <c r="N487" s="71" t="n">
        <f aca="false">M487+N481+N485-N486-N482</f>
        <v>0</v>
      </c>
      <c r="O487" s="71" t="n">
        <f aca="false">N487+O481+O485-O486-O482</f>
        <v>0</v>
      </c>
      <c r="P487" s="71" t="n">
        <f aca="false">O487+P481+P485-P486-P482</f>
        <v>40443.5445694581</v>
      </c>
      <c r="Q487" s="71" t="n">
        <f aca="false">P487+Q481+Q485-Q486-Q482</f>
        <v>35950.8122104433</v>
      </c>
      <c r="R487" s="71" t="n">
        <f aca="false">Q487+R481+R485-R486-R482</f>
        <v>37074.2750920197</v>
      </c>
      <c r="S487" s="71" t="n">
        <f aca="false">R487+S481+S485-S486-S482</f>
        <v>39770.586007803</v>
      </c>
      <c r="T487" s="71" t="n">
        <f aca="false">S487+T481+T485-T486-T482</f>
        <v>41568.1266183251</v>
      </c>
      <c r="U487" s="71" t="n">
        <f aca="false">T487+U481+U485-U486-U482</f>
        <v>31681.6532604532</v>
      </c>
      <c r="V487" s="71" t="n">
        <f aca="false">U487+V481+V485-V486-V482</f>
        <v>0</v>
      </c>
      <c r="W487" s="71" t="n">
        <f aca="false">V487+W481+W485-W486-W482</f>
        <v>0</v>
      </c>
      <c r="X487" s="71" t="n">
        <f aca="false">W487+X481+X485-X486-X482</f>
        <v>0</v>
      </c>
      <c r="Y487" s="71" t="n">
        <f aca="false">X487+Y481+Y485-Y486-Y482</f>
        <v>0</v>
      </c>
      <c r="Z487" s="71" t="n">
        <f aca="false">Y487+Z481+Z485-Z486-Z482</f>
        <v>0</v>
      </c>
      <c r="AA487" s="71" t="n">
        <f aca="false">Z487+AA481+AA485-AA486-AA482</f>
        <v>0</v>
      </c>
      <c r="AB487" s="71" t="n">
        <f aca="false">AA487+AB481+AB485-AB486-AB482</f>
        <v>0</v>
      </c>
    </row>
    <row r="488" customFormat="false" ht="15" hidden="false" customHeight="false" outlineLevel="0" collapsed="false">
      <c r="A488" s="29" t="s">
        <v>890</v>
      </c>
      <c r="B488" s="60" t="s">
        <v>850</v>
      </c>
      <c r="C488" s="61" t="n">
        <f aca="false">P488</f>
        <v>159693.687558621</v>
      </c>
      <c r="D488" s="61" t="n">
        <f aca="false">AB488</f>
        <v>0</v>
      </c>
      <c r="E488" s="62" t="n">
        <f aca="false">MAX(0,Engagement_Register!$AM$36-E478)*Engagement_Register!$AE$36*Assumptions!E$194*(1-Engagement_Register!$AS$36)</f>
        <v>195759.774</v>
      </c>
      <c r="F488" s="62" t="n">
        <f aca="false">MAX(0,Engagement_Register!$AM$36-F478)*Engagement_Register!$AE$36*Assumptions!F$194*(1-Engagement_Register!$AS$36)</f>
        <v>195759.774</v>
      </c>
      <c r="G488" s="62" t="n">
        <f aca="false">MAX(0,Engagement_Register!$AM$36-G478)*Engagement_Register!$AE$36*Assumptions!G$194*(1-Engagement_Register!$AS$36)</f>
        <v>195759.774</v>
      </c>
      <c r="H488" s="62" t="n">
        <f aca="false">MAX(0,Engagement_Register!$AM$36-H478)*Engagement_Register!$AE$36*Assumptions!H$194*(1-Engagement_Register!$AS$36)</f>
        <v>195759.774</v>
      </c>
      <c r="I488" s="62" t="n">
        <f aca="false">MAX(0,Engagement_Register!$AM$36-I478)*Engagement_Register!$AE$36*Assumptions!I$194*(1-Engagement_Register!$AS$36)</f>
        <v>195759.774</v>
      </c>
      <c r="J488" s="62" t="n">
        <f aca="false">MAX(0,Engagement_Register!$AM$36-J478)*Engagement_Register!$AE$36*Assumptions!J$194*(1-Engagement_Register!$AS$36)</f>
        <v>195759.774</v>
      </c>
      <c r="K488" s="62" t="n">
        <f aca="false">MAX(0,Engagement_Register!$AM$36-K478)*Engagement_Register!$AE$36*Assumptions!K$194*(1-Engagement_Register!$AS$36)</f>
        <v>195759.774</v>
      </c>
      <c r="L488" s="62" t="n">
        <f aca="false">MAX(0,Engagement_Register!$AM$36-L478)*Engagement_Register!$AE$36*Assumptions!L$194*(1-Engagement_Register!$AS$36)</f>
        <v>195759.774</v>
      </c>
      <c r="M488" s="62" t="n">
        <f aca="false">MAX(0,Engagement_Register!$AM$36-M478)*Engagement_Register!$AE$36*Assumptions!M$194*(1-Engagement_Register!$AS$36)</f>
        <v>195759.774</v>
      </c>
      <c r="N488" s="62" t="n">
        <f aca="false">MAX(0,Engagement_Register!$AM$36-N478)*Engagement_Register!$AE$36*Assumptions!N$194*(1-Engagement_Register!$AS$36)</f>
        <v>195759.774</v>
      </c>
      <c r="O488" s="62" t="n">
        <f aca="false">MAX(0,Engagement_Register!$AM$36-O478)*Engagement_Register!$AE$36*Assumptions!O$194*(1-Engagement_Register!$AS$36)</f>
        <v>195759.774</v>
      </c>
      <c r="P488" s="62" t="n">
        <f aca="false">MAX(0,Engagement_Register!$AM$36-P478)*Engagement_Register!$AE$36*Assumptions!P$194*(1-Engagement_Register!$AS$36)</f>
        <v>159693.687558621</v>
      </c>
      <c r="Q488" s="62" t="n">
        <f aca="false">MAX(0,Engagement_Register!$AM$36-Q478)*Engagement_Register!$AE$36*Assumptions!Q$194*(1-Engagement_Register!$AS$36)</f>
        <v>133988.40413131</v>
      </c>
      <c r="R488" s="62" t="n">
        <f aca="false">MAX(0,Engagement_Register!$AM$36-R478)*Engagement_Register!$AE$36*Assumptions!R$194*(1-Engagement_Register!$AS$36)</f>
        <v>100892.465985103</v>
      </c>
      <c r="S488" s="62" t="n">
        <f aca="false">MAX(0,Engagement_Register!$AM$36-S478)*Engagement_Register!$AE$36*Assumptions!S$194*(1-Engagement_Register!$AS$36)</f>
        <v>65389.5505191724</v>
      </c>
      <c r="T488" s="62" t="n">
        <f aca="false">MAX(0,Engagement_Register!$AM$36-T478)*Engagement_Register!$AE$36*Assumptions!T$194*(1-Engagement_Register!$AS$36)</f>
        <v>28281.9835067586</v>
      </c>
      <c r="U488" s="62" t="n">
        <f aca="false">MAX(0,Engagement_Register!$AM$36-U478)*Engagement_Register!$AE$36*Assumptions!U$194*(1-Engagement_Register!$AS$36)</f>
        <v>0</v>
      </c>
      <c r="V488" s="62" t="n">
        <f aca="false">MAX(0,Engagement_Register!$AM$36-V478)*Engagement_Register!$AE$36*Assumptions!V$194*(1-Engagement_Register!$AS$36)</f>
        <v>0</v>
      </c>
      <c r="W488" s="62" t="n">
        <f aca="false">MAX(0,Engagement_Register!$AM$36-W478)*Engagement_Register!$AE$36*Assumptions!W$194*(1-Engagement_Register!$AS$36)</f>
        <v>0</v>
      </c>
      <c r="X488" s="62" t="n">
        <f aca="false">MAX(0,Engagement_Register!$AM$36-X478)*Engagement_Register!$AE$36*Assumptions!X$194*(1-Engagement_Register!$AS$36)</f>
        <v>0</v>
      </c>
      <c r="Y488" s="62" t="n">
        <f aca="false">MAX(0,Engagement_Register!$AM$36-Y478)*Engagement_Register!$AE$36*Assumptions!Y$194*(1-Engagement_Register!$AS$36)</f>
        <v>0</v>
      </c>
      <c r="Z488" s="62" t="n">
        <f aca="false">MAX(0,Engagement_Register!$AM$36-Z478)*Engagement_Register!$AE$36*Assumptions!Z$194*(1-Engagement_Register!$AS$36)</f>
        <v>0</v>
      </c>
      <c r="AA488" s="62" t="n">
        <f aca="false">MAX(0,Engagement_Register!$AM$36-AA478)*Engagement_Register!$AE$36*Assumptions!AA$194*(1-Engagement_Register!$AS$36)</f>
        <v>0</v>
      </c>
      <c r="AB488" s="62" t="n">
        <f aca="false">MAX(0,Engagement_Register!$AM$36-AB478)*Engagement_Register!$AE$36*Assumptions!AB$194*(1-Engagement_Register!$AS$36)</f>
        <v>0</v>
      </c>
    </row>
    <row r="490" customFormat="false" ht="15" hidden="false" customHeight="false" outlineLevel="0" collapsed="false">
      <c r="A490" s="23" t="s">
        <v>897</v>
      </c>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row>
    <row r="491" customFormat="false" ht="15" hidden="false" customHeight="false" outlineLevel="0" collapsed="false">
      <c r="A491" s="29" t="s">
        <v>736</v>
      </c>
      <c r="B491" s="60" t="s">
        <v>832</v>
      </c>
      <c r="C491" s="66" t="n">
        <f aca="false">P491</f>
        <v>0</v>
      </c>
      <c r="D491" s="66" t="n">
        <f aca="false">AB491</f>
        <v>1260</v>
      </c>
      <c r="E491" s="67" t="n">
        <f aca="false">Engagement_Register!$T$37+E39</f>
        <v>0</v>
      </c>
      <c r="F491" s="72" t="n">
        <f aca="false">E491+F39</f>
        <v>0</v>
      </c>
      <c r="G491" s="72" t="n">
        <f aca="false">F491+G39</f>
        <v>0</v>
      </c>
      <c r="H491" s="72" t="n">
        <f aca="false">G491+H39</f>
        <v>0</v>
      </c>
      <c r="I491" s="72" t="n">
        <f aca="false">H491+I39</f>
        <v>0</v>
      </c>
      <c r="J491" s="72" t="n">
        <f aca="false">I491+J39</f>
        <v>0</v>
      </c>
      <c r="K491" s="72" t="n">
        <f aca="false">J491+K39</f>
        <v>0</v>
      </c>
      <c r="L491" s="72" t="n">
        <f aca="false">K491+L39</f>
        <v>0</v>
      </c>
      <c r="M491" s="72" t="n">
        <f aca="false">L491+M39</f>
        <v>0</v>
      </c>
      <c r="N491" s="72" t="n">
        <f aca="false">M491+N39</f>
        <v>0</v>
      </c>
      <c r="O491" s="72" t="n">
        <f aca="false">N491+O39</f>
        <v>0</v>
      </c>
      <c r="P491" s="72" t="n">
        <f aca="false">O491+P39</f>
        <v>0</v>
      </c>
      <c r="Q491" s="72" t="n">
        <f aca="false">P491+Q39</f>
        <v>197.84102060844</v>
      </c>
      <c r="R491" s="72" t="n">
        <f aca="false">Q491+R39</f>
        <v>401.864573110893</v>
      </c>
      <c r="S491" s="72" t="n">
        <f aca="false">R491+S39</f>
        <v>620.726202158979</v>
      </c>
      <c r="T491" s="72" t="n">
        <f aca="false">S491+T39</f>
        <v>849.479882237488</v>
      </c>
      <c r="U491" s="72" t="n">
        <f aca="false">T491+U39</f>
        <v>1023.82728164868</v>
      </c>
      <c r="V491" s="72" t="n">
        <f aca="false">U491+V39</f>
        <v>1260</v>
      </c>
      <c r="W491" s="72" t="n">
        <f aca="false">V491+W39</f>
        <v>1260</v>
      </c>
      <c r="X491" s="72" t="n">
        <f aca="false">W491+X39</f>
        <v>1260</v>
      </c>
      <c r="Y491" s="72" t="n">
        <f aca="false">X491+Y39</f>
        <v>1260</v>
      </c>
      <c r="Z491" s="72" t="n">
        <f aca="false">Y491+Z39</f>
        <v>1260</v>
      </c>
      <c r="AA491" s="72" t="n">
        <f aca="false">Z491+AA39</f>
        <v>1260</v>
      </c>
      <c r="AB491" s="72" t="n">
        <f aca="false">AA491+AB39</f>
        <v>1260</v>
      </c>
    </row>
    <row r="492" customFormat="false" ht="15" hidden="false" customHeight="false" outlineLevel="0" collapsed="false">
      <c r="A492" s="29" t="s">
        <v>833</v>
      </c>
      <c r="B492" s="60" t="s">
        <v>834</v>
      </c>
      <c r="C492" s="61" t="n">
        <f aca="false">SUM(E492:P492)</f>
        <v>0</v>
      </c>
      <c r="D492" s="61" t="n">
        <f aca="false">SUM(Q492:AB492)</f>
        <v>257755.68</v>
      </c>
      <c r="E492" s="62" t="n">
        <f aca="false">E39*Engagement_Register!$AD$37*Assumptions!E$194</f>
        <v>0</v>
      </c>
      <c r="F492" s="62" t="n">
        <f aca="false">F39*Engagement_Register!$AD$37*Assumptions!F$194</f>
        <v>0</v>
      </c>
      <c r="G492" s="62" t="n">
        <f aca="false">G39*Engagement_Register!$AD$37*Assumptions!G$194</f>
        <v>0</v>
      </c>
      <c r="H492" s="62" t="n">
        <f aca="false">H39*Engagement_Register!$AD$37*Assumptions!H$194</f>
        <v>0</v>
      </c>
      <c r="I492" s="62" t="n">
        <f aca="false">I39*Engagement_Register!$AD$37*Assumptions!I$194</f>
        <v>0</v>
      </c>
      <c r="J492" s="62" t="n">
        <f aca="false">J39*Engagement_Register!$AD$37*Assumptions!J$194</f>
        <v>0</v>
      </c>
      <c r="K492" s="62" t="n">
        <f aca="false">K39*Engagement_Register!$AD$37*Assumptions!K$194</f>
        <v>0</v>
      </c>
      <c r="L492" s="62" t="n">
        <f aca="false">L39*Engagement_Register!$AD$37*Assumptions!L$194</f>
        <v>0</v>
      </c>
      <c r="M492" s="62" t="n">
        <f aca="false">M39*Engagement_Register!$AD$37*Assumptions!M$194</f>
        <v>0</v>
      </c>
      <c r="N492" s="62" t="n">
        <f aca="false">N39*Engagement_Register!$AD$37*Assumptions!N$194</f>
        <v>0</v>
      </c>
      <c r="O492" s="62" t="n">
        <f aca="false">O39*Engagement_Register!$AD$37*Assumptions!O$194</f>
        <v>0</v>
      </c>
      <c r="P492" s="62" t="n">
        <f aca="false">P39*Engagement_Register!$AD$37*Assumptions!P$194</f>
        <v>0</v>
      </c>
      <c r="Q492" s="62" t="n">
        <f aca="false">Q39*Engagement_Register!$AD$37*Assumptions!Q$194</f>
        <v>40471.9419038273</v>
      </c>
      <c r="R492" s="62" t="n">
        <f aca="false">R39*Engagement_Register!$AD$37*Assumptions!R$194</f>
        <v>41736.6900883219</v>
      </c>
      <c r="S492" s="62" t="n">
        <f aca="false">S39*Engagement_Register!$AD$37*Assumptions!S$194</f>
        <v>44772.0857311089</v>
      </c>
      <c r="T492" s="62" t="n">
        <f aca="false">T39*Engagement_Register!$AD$37*Assumptions!T$194</f>
        <v>46795.6828263003</v>
      </c>
      <c r="U492" s="62" t="n">
        <f aca="false">U39*Engagement_Register!$AD$37*Assumptions!U$194</f>
        <v>35665.8988027478</v>
      </c>
      <c r="V492" s="62" t="n">
        <f aca="false">V39*Engagement_Register!$AD$37*Assumptions!V$194</f>
        <v>48313.3806476938</v>
      </c>
      <c r="W492" s="62" t="n">
        <f aca="false">W39*Engagement_Register!$AD$37*Assumptions!W$194</f>
        <v>0</v>
      </c>
      <c r="X492" s="62" t="n">
        <f aca="false">X39*Engagement_Register!$AD$37*Assumptions!X$194</f>
        <v>0</v>
      </c>
      <c r="Y492" s="62" t="n">
        <f aca="false">Y39*Engagement_Register!$AD$37*Assumptions!Y$194</f>
        <v>0</v>
      </c>
      <c r="Z492" s="62" t="n">
        <f aca="false">Z39*Engagement_Register!$AD$37*Assumptions!Z$194</f>
        <v>0</v>
      </c>
      <c r="AA492" s="62" t="n">
        <f aca="false">AA39*Engagement_Register!$AD$37*Assumptions!AA$194</f>
        <v>0</v>
      </c>
      <c r="AB492" s="62" t="n">
        <f aca="false">AB39*Engagement_Register!$AD$37*Assumptions!AB$194</f>
        <v>0</v>
      </c>
    </row>
    <row r="493" customFormat="false" ht="15" hidden="false" customHeight="false" outlineLevel="0" collapsed="false">
      <c r="A493" s="29" t="s">
        <v>835</v>
      </c>
      <c r="B493" s="60" t="s">
        <v>836</v>
      </c>
      <c r="C493" s="61" t="n">
        <f aca="false">SUM(E493:P493)</f>
        <v>0</v>
      </c>
      <c r="D493" s="61" t="n">
        <f aca="false">SUM(Q493:AB493)</f>
        <v>244867.896</v>
      </c>
      <c r="E493" s="62" t="n">
        <f aca="false">E39*Engagement_Register!$AE$37*Assumptions!E$194</f>
        <v>0</v>
      </c>
      <c r="F493" s="62" t="n">
        <f aca="false">F39*Engagement_Register!$AE$37*Assumptions!F$194</f>
        <v>0</v>
      </c>
      <c r="G493" s="62" t="n">
        <f aca="false">G39*Engagement_Register!$AE$37*Assumptions!G$194</f>
        <v>0</v>
      </c>
      <c r="H493" s="62" t="n">
        <f aca="false">H39*Engagement_Register!$AE$37*Assumptions!H$194</f>
        <v>0</v>
      </c>
      <c r="I493" s="62" t="n">
        <f aca="false">I39*Engagement_Register!$AE$37*Assumptions!I$194</f>
        <v>0</v>
      </c>
      <c r="J493" s="62" t="n">
        <f aca="false">J39*Engagement_Register!$AE$37*Assumptions!J$194</f>
        <v>0</v>
      </c>
      <c r="K493" s="62" t="n">
        <f aca="false">K39*Engagement_Register!$AE$37*Assumptions!K$194</f>
        <v>0</v>
      </c>
      <c r="L493" s="62" t="n">
        <f aca="false">L39*Engagement_Register!$AE$37*Assumptions!L$194</f>
        <v>0</v>
      </c>
      <c r="M493" s="62" t="n">
        <f aca="false">M39*Engagement_Register!$AE$37*Assumptions!M$194</f>
        <v>0</v>
      </c>
      <c r="N493" s="62" t="n">
        <f aca="false">N39*Engagement_Register!$AE$37*Assumptions!N$194</f>
        <v>0</v>
      </c>
      <c r="O493" s="62" t="n">
        <f aca="false">O39*Engagement_Register!$AE$37*Assumptions!O$194</f>
        <v>0</v>
      </c>
      <c r="P493" s="62" t="n">
        <f aca="false">P39*Engagement_Register!$AE$37*Assumptions!P$194</f>
        <v>0</v>
      </c>
      <c r="Q493" s="62" t="n">
        <f aca="false">Q39*Engagement_Register!$AE$37*Assumptions!Q$194</f>
        <v>38448.3448086359</v>
      </c>
      <c r="R493" s="62" t="n">
        <f aca="false">R39*Engagement_Register!$AE$37*Assumptions!R$194</f>
        <v>39649.8555839058</v>
      </c>
      <c r="S493" s="62" t="n">
        <f aca="false">S39*Engagement_Register!$AE$37*Assumptions!S$194</f>
        <v>42533.4814445535</v>
      </c>
      <c r="T493" s="62" t="n">
        <f aca="false">T39*Engagement_Register!$AE$37*Assumptions!T$194</f>
        <v>44455.8986849853</v>
      </c>
      <c r="U493" s="62" t="n">
        <f aca="false">U39*Engagement_Register!$AE$37*Assumptions!U$194</f>
        <v>33882.6038626104</v>
      </c>
      <c r="V493" s="62" t="n">
        <f aca="false">V39*Engagement_Register!$AE$37*Assumptions!V$194</f>
        <v>45897.7116153091</v>
      </c>
      <c r="W493" s="62" t="n">
        <f aca="false">W39*Engagement_Register!$AE$37*Assumptions!W$194</f>
        <v>0</v>
      </c>
      <c r="X493" s="62" t="n">
        <f aca="false">X39*Engagement_Register!$AE$37*Assumptions!X$194</f>
        <v>0</v>
      </c>
      <c r="Y493" s="62" t="n">
        <f aca="false">Y39*Engagement_Register!$AE$37*Assumptions!Y$194</f>
        <v>0</v>
      </c>
      <c r="Z493" s="62" t="n">
        <f aca="false">Z39*Engagement_Register!$AE$37*Assumptions!Z$194</f>
        <v>0</v>
      </c>
      <c r="AA493" s="62" t="n">
        <f aca="false">AA39*Engagement_Register!$AE$37*Assumptions!AA$194</f>
        <v>0</v>
      </c>
      <c r="AB493" s="62" t="n">
        <f aca="false">AB39*Engagement_Register!$AE$37*Assumptions!AB$194</f>
        <v>0</v>
      </c>
    </row>
    <row r="494" customFormat="false" ht="15" hidden="false" customHeight="false" outlineLevel="0" collapsed="false">
      <c r="A494" s="68" t="s">
        <v>349</v>
      </c>
      <c r="B494" s="69" t="s">
        <v>837</v>
      </c>
      <c r="C494" s="70" t="n">
        <f aca="false">SUM(E494:P494)</f>
        <v>0</v>
      </c>
      <c r="D494" s="70" t="n">
        <f aca="false">SUM(Q494:AB494)</f>
        <v>235073.18016</v>
      </c>
      <c r="E494" s="74" t="n">
        <f aca="false">IF(E$5="A",0,E493*(1-Engagement_Register!$AS$37))</f>
        <v>0</v>
      </c>
      <c r="F494" s="74" t="n">
        <f aca="false">IF(F$5="A",0,F493*(1-Engagement_Register!$AS$37))</f>
        <v>0</v>
      </c>
      <c r="G494" s="74" t="n">
        <f aca="false">IF(G$5="A",0,G493*(1-Engagement_Register!$AS$37))</f>
        <v>0</v>
      </c>
      <c r="H494" s="74" t="n">
        <f aca="false">IF(H$5="A",0,H493*(1-Engagement_Register!$AS$37))</f>
        <v>0</v>
      </c>
      <c r="I494" s="74" t="n">
        <f aca="false">IF(I$5="A",0,I493*(1-Engagement_Register!$AS$37))</f>
        <v>0</v>
      </c>
      <c r="J494" s="74" t="n">
        <f aca="false">IF(J$5="A",0,J493*(1-Engagement_Register!$AS$37))</f>
        <v>0</v>
      </c>
      <c r="K494" s="74" t="n">
        <f aca="false">IF(K$5="A",0,K493*(1-Engagement_Register!$AS$37))</f>
        <v>0</v>
      </c>
      <c r="L494" s="74" t="n">
        <f aca="false">IF(L$5="A",0,L493*(1-Engagement_Register!$AS$37))</f>
        <v>0</v>
      </c>
      <c r="M494" s="74" t="n">
        <f aca="false">IF(M$5="A",0,M493*(1-Engagement_Register!$AS$37))</f>
        <v>0</v>
      </c>
      <c r="N494" s="74" t="n">
        <f aca="false">IF(N$5="A",0,N493*(1-Engagement_Register!$AS$37))</f>
        <v>0</v>
      </c>
      <c r="O494" s="74" t="n">
        <f aca="false">IF(O$5="A",0,O493*(1-Engagement_Register!$AS$37))</f>
        <v>0</v>
      </c>
      <c r="P494" s="74" t="n">
        <f aca="false">IF(P$5="A",0,P493*(1-Engagement_Register!$AS$37))</f>
        <v>0</v>
      </c>
      <c r="Q494" s="74" t="n">
        <f aca="false">IF(Q$5="A",0,Q493*(1-Engagement_Register!$AS$37))</f>
        <v>36910.4110162905</v>
      </c>
      <c r="R494" s="74" t="n">
        <f aca="false">IF(R$5="A",0,R493*(1-Engagement_Register!$AS$37))</f>
        <v>38063.8613605496</v>
      </c>
      <c r="S494" s="74" t="n">
        <f aca="false">IF(S$5="A",0,S493*(1-Engagement_Register!$AS$37))</f>
        <v>40832.1421867713</v>
      </c>
      <c r="T494" s="74" t="n">
        <f aca="false">IF(T$5="A",0,T493*(1-Engagement_Register!$AS$37))</f>
        <v>42677.6627375859</v>
      </c>
      <c r="U494" s="74" t="n">
        <f aca="false">IF(U$5="A",0,U493*(1-Engagement_Register!$AS$37))</f>
        <v>32527.299708106</v>
      </c>
      <c r="V494" s="74" t="n">
        <f aca="false">IF(V$5="A",0,V493*(1-Engagement_Register!$AS$37))</f>
        <v>44061.8031506968</v>
      </c>
      <c r="W494" s="74" t="n">
        <f aca="false">IF(W$5="A",0,W493*(1-Engagement_Register!$AS$37))</f>
        <v>0</v>
      </c>
      <c r="X494" s="74" t="n">
        <f aca="false">IF(X$5="A",0,X493*(1-Engagement_Register!$AS$37))</f>
        <v>0</v>
      </c>
      <c r="Y494" s="74" t="n">
        <f aca="false">IF(Y$5="A",0,Y493*(1-Engagement_Register!$AS$37))</f>
        <v>0</v>
      </c>
      <c r="Z494" s="74" t="n">
        <f aca="false">IF(Z$5="A",0,Z493*(1-Engagement_Register!$AS$37))</f>
        <v>0</v>
      </c>
      <c r="AA494" s="74" t="n">
        <f aca="false">IF(AA$5="A",0,AA493*(1-Engagement_Register!$AS$37))</f>
        <v>0</v>
      </c>
      <c r="AB494" s="74" t="n">
        <f aca="false">IF(AB$5="A",0,AB493*(1-Engagement_Register!$AS$37))</f>
        <v>0</v>
      </c>
    </row>
    <row r="495" customFormat="false" ht="15" hidden="false" customHeight="false" outlineLevel="0" collapsed="false">
      <c r="A495" s="29" t="s">
        <v>838</v>
      </c>
      <c r="B495" s="60" t="s">
        <v>839</v>
      </c>
      <c r="C495" s="61" t="n">
        <f aca="false">SUM(E495:P495)</f>
        <v>0</v>
      </c>
      <c r="D495" s="61" t="n">
        <f aca="false">SUM(Q495:AB495)</f>
        <v>235073.18016</v>
      </c>
      <c r="E495" s="71" t="n">
        <f aca="false">IF(E$5="A",0,0)</f>
        <v>0</v>
      </c>
      <c r="F495" s="71" t="n">
        <f aca="false">IF(F$5="A",0,E494)</f>
        <v>0</v>
      </c>
      <c r="G495" s="71" t="n">
        <f aca="false">IF(G$5="A",0,F494)</f>
        <v>0</v>
      </c>
      <c r="H495" s="71" t="n">
        <f aca="false">IF(H$5="A",0,G494)</f>
        <v>0</v>
      </c>
      <c r="I495" s="71" t="n">
        <f aca="false">IF(I$5="A",0,H494)</f>
        <v>0</v>
      </c>
      <c r="J495" s="71" t="n">
        <f aca="false">IF(J$5="A",0,I494)</f>
        <v>0</v>
      </c>
      <c r="K495" s="71" t="n">
        <f aca="false">IF(K$5="A",0,J494)</f>
        <v>0</v>
      </c>
      <c r="L495" s="71" t="n">
        <f aca="false">IF(L$5="A",0,K494)</f>
        <v>0</v>
      </c>
      <c r="M495" s="71" t="n">
        <f aca="false">IF(M$5="A",0,L494)</f>
        <v>0</v>
      </c>
      <c r="N495" s="71" t="n">
        <f aca="false">IF(N$5="A",0,M494)</f>
        <v>0</v>
      </c>
      <c r="O495" s="71" t="n">
        <f aca="false">IF(O$5="A",0,N494)</f>
        <v>0</v>
      </c>
      <c r="P495" s="71" t="n">
        <f aca="false">IF(P$5="A",0,O494)</f>
        <v>0</v>
      </c>
      <c r="Q495" s="71" t="n">
        <f aca="false">IF(Q$5="A",0,P494)</f>
        <v>0</v>
      </c>
      <c r="R495" s="71" t="n">
        <f aca="false">IF(R$5="A",0,Q494)</f>
        <v>36910.4110162905</v>
      </c>
      <c r="S495" s="71" t="n">
        <f aca="false">IF(S$5="A",0,R494)</f>
        <v>38063.8613605496</v>
      </c>
      <c r="T495" s="71" t="n">
        <f aca="false">IF(T$5="A",0,S494)</f>
        <v>40832.1421867713</v>
      </c>
      <c r="U495" s="71" t="n">
        <f aca="false">IF(U$5="A",0,T494)</f>
        <v>42677.6627375859</v>
      </c>
      <c r="V495" s="71" t="n">
        <f aca="false">IF(V$5="A",0,U494)</f>
        <v>32527.299708106</v>
      </c>
      <c r="W495" s="71" t="n">
        <f aca="false">IF(W$5="A",0,V494)</f>
        <v>44061.8031506968</v>
      </c>
      <c r="X495" s="71" t="n">
        <f aca="false">IF(X$5="A",0,W494)</f>
        <v>0</v>
      </c>
      <c r="Y495" s="71" t="n">
        <f aca="false">IF(Y$5="A",0,X494)</f>
        <v>0</v>
      </c>
      <c r="Z495" s="71" t="n">
        <f aca="false">IF(Z$5="A",0,Y494)</f>
        <v>0</v>
      </c>
      <c r="AA495" s="71" t="n">
        <f aca="false">IF(AA$5="A",0,Z494)</f>
        <v>0</v>
      </c>
      <c r="AB495" s="71" t="n">
        <f aca="false">IF(AB$5="A",0,AA494)</f>
        <v>0</v>
      </c>
    </row>
    <row r="496" customFormat="false" ht="15" hidden="false" customHeight="false" outlineLevel="0" collapsed="false">
      <c r="A496" s="29" t="s">
        <v>840</v>
      </c>
      <c r="B496" s="60"/>
      <c r="C496" s="61" t="n">
        <f aca="false">P496</f>
        <v>0</v>
      </c>
      <c r="D496" s="61" t="n">
        <f aca="false">AB496</f>
        <v>235073.18016</v>
      </c>
      <c r="E496" s="62" t="n">
        <f aca="false">Engagement_Register!$V$37+E495</f>
        <v>0</v>
      </c>
      <c r="F496" s="71" t="n">
        <f aca="false">E496+F495</f>
        <v>0</v>
      </c>
      <c r="G496" s="71" t="n">
        <f aca="false">F496+G495</f>
        <v>0</v>
      </c>
      <c r="H496" s="71" t="n">
        <f aca="false">G496+H495</f>
        <v>0</v>
      </c>
      <c r="I496" s="71" t="n">
        <f aca="false">H496+I495</f>
        <v>0</v>
      </c>
      <c r="J496" s="71" t="n">
        <f aca="false">I496+J495</f>
        <v>0</v>
      </c>
      <c r="K496" s="71" t="n">
        <f aca="false">J496+K495</f>
        <v>0</v>
      </c>
      <c r="L496" s="71" t="n">
        <f aca="false">K496+L495</f>
        <v>0</v>
      </c>
      <c r="M496" s="71" t="n">
        <f aca="false">L496+M495</f>
        <v>0</v>
      </c>
      <c r="N496" s="71" t="n">
        <f aca="false">M496+N495</f>
        <v>0</v>
      </c>
      <c r="O496" s="71" t="n">
        <f aca="false">N496+O495</f>
        <v>0</v>
      </c>
      <c r="P496" s="71" t="n">
        <f aca="false">O496+P495</f>
        <v>0</v>
      </c>
      <c r="Q496" s="71" t="n">
        <f aca="false">P496+Q495</f>
        <v>0</v>
      </c>
      <c r="R496" s="71" t="n">
        <f aca="false">Q496+R495</f>
        <v>36910.4110162905</v>
      </c>
      <c r="S496" s="71" t="n">
        <f aca="false">R496+S495</f>
        <v>74974.27237684</v>
      </c>
      <c r="T496" s="71" t="n">
        <f aca="false">S496+T495</f>
        <v>115806.414563611</v>
      </c>
      <c r="U496" s="71" t="n">
        <f aca="false">T496+U495</f>
        <v>158484.077301197</v>
      </c>
      <c r="V496" s="71" t="n">
        <f aca="false">U496+V495</f>
        <v>191011.377009303</v>
      </c>
      <c r="W496" s="71" t="n">
        <f aca="false">V496+W495</f>
        <v>235073.18016</v>
      </c>
      <c r="X496" s="71" t="n">
        <f aca="false">W496+X495</f>
        <v>235073.18016</v>
      </c>
      <c r="Y496" s="71" t="n">
        <f aca="false">X496+Y495</f>
        <v>235073.18016</v>
      </c>
      <c r="Z496" s="71" t="n">
        <f aca="false">Y496+Z495</f>
        <v>235073.18016</v>
      </c>
      <c r="AA496" s="71" t="n">
        <f aca="false">Z496+AA495</f>
        <v>235073.18016</v>
      </c>
      <c r="AB496" s="71" t="n">
        <f aca="false">AA496+AB495</f>
        <v>235073.18016</v>
      </c>
    </row>
    <row r="497" customFormat="false" ht="15" hidden="false" customHeight="false" outlineLevel="0" collapsed="false">
      <c r="A497" s="29" t="s">
        <v>841</v>
      </c>
      <c r="B497" s="60" t="s">
        <v>842</v>
      </c>
      <c r="C497" s="61" t="n">
        <f aca="false">SUM(E497:P497)</f>
        <v>0</v>
      </c>
      <c r="D497" s="61" t="n">
        <f aca="false">SUM(Q497:AB497)</f>
        <v>18169.2</v>
      </c>
      <c r="E497" s="62" t="n">
        <f aca="false">IF(E$5="A",0,E39*Engagement_Register!$N$37*Assumptions!E$195)</f>
        <v>0</v>
      </c>
      <c r="F497" s="62" t="n">
        <f aca="false">IF(F$5="A",0,F39*Engagement_Register!$N$37*Assumptions!F$195)</f>
        <v>0</v>
      </c>
      <c r="G497" s="62" t="n">
        <f aca="false">IF(G$5="A",0,G39*Engagement_Register!$N$37*Assumptions!G$195)</f>
        <v>0</v>
      </c>
      <c r="H497" s="62" t="n">
        <f aca="false">IF(H$5="A",0,H39*Engagement_Register!$N$37*Assumptions!H$195)</f>
        <v>0</v>
      </c>
      <c r="I497" s="62" t="n">
        <f aca="false">IF(I$5="A",0,I39*Engagement_Register!$N$37*Assumptions!I$195)</f>
        <v>0</v>
      </c>
      <c r="J497" s="62" t="n">
        <f aca="false">IF(J$5="A",0,J39*Engagement_Register!$N$37*Assumptions!J$195)</f>
        <v>0</v>
      </c>
      <c r="K497" s="62" t="n">
        <f aca="false">IF(K$5="A",0,K39*Engagement_Register!$N$37*Assumptions!K$195)</f>
        <v>0</v>
      </c>
      <c r="L497" s="62" t="n">
        <f aca="false">IF(L$5="A",0,L39*Engagement_Register!$N$37*Assumptions!L$195)</f>
        <v>0</v>
      </c>
      <c r="M497" s="62" t="n">
        <f aca="false">IF(M$5="A",0,M39*Engagement_Register!$N$37*Assumptions!M$195)</f>
        <v>0</v>
      </c>
      <c r="N497" s="62" t="n">
        <f aca="false">IF(N$5="A",0,N39*Engagement_Register!$N$37*Assumptions!N$195)</f>
        <v>0</v>
      </c>
      <c r="O497" s="62" t="n">
        <f aca="false">IF(O$5="A",0,O39*Engagement_Register!$N$37*Assumptions!O$195)</f>
        <v>0</v>
      </c>
      <c r="P497" s="62" t="n">
        <f aca="false">IF(P$5="A",0,P39*Engagement_Register!$N$37*Assumptions!P$195)</f>
        <v>0</v>
      </c>
      <c r="Q497" s="62" t="n">
        <f aca="false">IF(Q$5="A",0,Q39*Engagement_Register!$N$37*Assumptions!Q$195)</f>
        <v>2852.8675171737</v>
      </c>
      <c r="R497" s="62" t="n">
        <f aca="false">IF(R$5="A",0,R39*Engagement_Register!$N$37*Assumptions!R$195)</f>
        <v>2942.01962708538</v>
      </c>
      <c r="S497" s="62" t="n">
        <f aca="false">IF(S$5="A",0,S39*Engagement_Register!$N$37*Assumptions!S$195)</f>
        <v>3155.98469087341</v>
      </c>
      <c r="T497" s="62" t="n">
        <f aca="false">IF(T$5="A",0,T39*Engagement_Register!$N$37*Assumptions!T$195)</f>
        <v>3298.62806673209</v>
      </c>
      <c r="U497" s="62" t="n">
        <f aca="false">IF(U$5="A",0,U39*Engagement_Register!$N$37*Assumptions!U$195)</f>
        <v>2514.08949950932</v>
      </c>
      <c r="V497" s="62" t="n">
        <f aca="false">IF(V$5="A",0,V39*Engagement_Register!$N$37*Assumptions!V$195)</f>
        <v>3405.6105986261</v>
      </c>
      <c r="W497" s="62" t="n">
        <f aca="false">IF(W$5="A",0,W39*Engagement_Register!$N$37*Assumptions!W$195)</f>
        <v>0</v>
      </c>
      <c r="X497" s="62" t="n">
        <f aca="false">IF(X$5="A",0,X39*Engagement_Register!$N$37*Assumptions!X$195)</f>
        <v>0</v>
      </c>
      <c r="Y497" s="62" t="n">
        <f aca="false">IF(Y$5="A",0,Y39*Engagement_Register!$N$37*Assumptions!Y$195)</f>
        <v>0</v>
      </c>
      <c r="Z497" s="62" t="n">
        <f aca="false">IF(Z$5="A",0,Z39*Engagement_Register!$N$37*Assumptions!Z$195)</f>
        <v>0</v>
      </c>
      <c r="AA497" s="62" t="n">
        <f aca="false">IF(AA$5="A",0,AA39*Engagement_Register!$N$37*Assumptions!AA$195)</f>
        <v>0</v>
      </c>
      <c r="AB497" s="62" t="n">
        <f aca="false">IF(AB$5="A",0,AB39*Engagement_Register!$N$37*Assumptions!AB$195)</f>
        <v>0</v>
      </c>
    </row>
    <row r="498" customFormat="false" ht="15" hidden="false" customHeight="false" outlineLevel="0" collapsed="false">
      <c r="A498" s="29" t="s">
        <v>843</v>
      </c>
      <c r="B498" s="60" t="s">
        <v>844</v>
      </c>
      <c r="C498" s="61" t="n">
        <f aca="false">SUM(E498:P498)</f>
        <v>0</v>
      </c>
      <c r="D498" s="61" t="n">
        <f aca="false">SUM(Q498:AB498)</f>
        <v>18169.2</v>
      </c>
      <c r="E498" s="71" t="n">
        <f aca="false">E497</f>
        <v>0</v>
      </c>
      <c r="F498" s="71" t="n">
        <f aca="false">F497</f>
        <v>0</v>
      </c>
      <c r="G498" s="71" t="n">
        <f aca="false">G497</f>
        <v>0</v>
      </c>
      <c r="H498" s="71" t="n">
        <f aca="false">H497</f>
        <v>0</v>
      </c>
      <c r="I498" s="71" t="n">
        <f aca="false">I497</f>
        <v>0</v>
      </c>
      <c r="J498" s="71" t="n">
        <f aca="false">J497</f>
        <v>0</v>
      </c>
      <c r="K498" s="71" t="n">
        <f aca="false">K497</f>
        <v>0</v>
      </c>
      <c r="L498" s="71" t="n">
        <f aca="false">L497</f>
        <v>0</v>
      </c>
      <c r="M498" s="71" t="n">
        <f aca="false">M497</f>
        <v>0</v>
      </c>
      <c r="N498" s="71" t="n">
        <f aca="false">N497</f>
        <v>0</v>
      </c>
      <c r="O498" s="71" t="n">
        <f aca="false">O497</f>
        <v>0</v>
      </c>
      <c r="P498" s="71" t="n">
        <f aca="false">P497</f>
        <v>0</v>
      </c>
      <c r="Q498" s="71" t="n">
        <f aca="false">Q497</f>
        <v>2852.8675171737</v>
      </c>
      <c r="R498" s="71" t="n">
        <f aca="false">R497</f>
        <v>2942.01962708538</v>
      </c>
      <c r="S498" s="71" t="n">
        <f aca="false">S497</f>
        <v>3155.98469087341</v>
      </c>
      <c r="T498" s="71" t="n">
        <f aca="false">T497</f>
        <v>3298.62806673209</v>
      </c>
      <c r="U498" s="71" t="n">
        <f aca="false">U497</f>
        <v>2514.08949950932</v>
      </c>
      <c r="V498" s="71" t="n">
        <f aca="false">V497</f>
        <v>3405.6105986261</v>
      </c>
      <c r="W498" s="71" t="n">
        <f aca="false">W497</f>
        <v>0</v>
      </c>
      <c r="X498" s="71" t="n">
        <f aca="false">X497</f>
        <v>0</v>
      </c>
      <c r="Y498" s="71" t="n">
        <f aca="false">Y497</f>
        <v>0</v>
      </c>
      <c r="Z498" s="71" t="n">
        <f aca="false">Z497</f>
        <v>0</v>
      </c>
      <c r="AA498" s="71" t="n">
        <f aca="false">AA497</f>
        <v>0</v>
      </c>
      <c r="AB498" s="71" t="n">
        <f aca="false">AB497</f>
        <v>0</v>
      </c>
    </row>
    <row r="499" customFormat="false" ht="15" hidden="false" customHeight="false" outlineLevel="0" collapsed="false">
      <c r="A499" s="29" t="s">
        <v>845</v>
      </c>
      <c r="B499" s="60" t="s">
        <v>846</v>
      </c>
      <c r="C499" s="61" t="n">
        <f aca="false">SUM(E499:P499)</f>
        <v>0</v>
      </c>
      <c r="D499" s="61" t="n">
        <f aca="false">SUM(Q499:AB499)</f>
        <v>18169.2</v>
      </c>
      <c r="E499" s="71" t="n">
        <f aca="false">IF(E$5="A",0,0)</f>
        <v>0</v>
      </c>
      <c r="F499" s="71" t="n">
        <f aca="false">IF(F$5="A",0,E498)</f>
        <v>0</v>
      </c>
      <c r="G499" s="71" t="n">
        <f aca="false">IF(G$5="A",0,F498)</f>
        <v>0</v>
      </c>
      <c r="H499" s="71" t="n">
        <f aca="false">IF(H$5="A",0,G498)</f>
        <v>0</v>
      </c>
      <c r="I499" s="71" t="n">
        <f aca="false">IF(I$5="A",0,H498)</f>
        <v>0</v>
      </c>
      <c r="J499" s="71" t="n">
        <f aca="false">IF(J$5="A",0,I498)</f>
        <v>0</v>
      </c>
      <c r="K499" s="71" t="n">
        <f aca="false">IF(K$5="A",0,J498)</f>
        <v>0</v>
      </c>
      <c r="L499" s="71" t="n">
        <f aca="false">IF(L$5="A",0,K498)</f>
        <v>0</v>
      </c>
      <c r="M499" s="71" t="n">
        <f aca="false">IF(M$5="A",0,L498)</f>
        <v>0</v>
      </c>
      <c r="N499" s="71" t="n">
        <f aca="false">IF(N$5="A",0,M498)</f>
        <v>0</v>
      </c>
      <c r="O499" s="71" t="n">
        <f aca="false">IF(O$5="A",0,N498)</f>
        <v>0</v>
      </c>
      <c r="P499" s="71" t="n">
        <f aca="false">IF(P$5="A",0,O498)</f>
        <v>0</v>
      </c>
      <c r="Q499" s="71" t="n">
        <f aca="false">IF(Q$5="A",0,P498)</f>
        <v>0</v>
      </c>
      <c r="R499" s="71" t="n">
        <f aca="false">IF(R$5="A",0,Q498)</f>
        <v>2852.8675171737</v>
      </c>
      <c r="S499" s="71" t="n">
        <f aca="false">IF(S$5="A",0,R498)</f>
        <v>2942.01962708538</v>
      </c>
      <c r="T499" s="71" t="n">
        <f aca="false">IF(T$5="A",0,S498)</f>
        <v>3155.98469087341</v>
      </c>
      <c r="U499" s="71" t="n">
        <f aca="false">IF(U$5="A",0,T498)</f>
        <v>3298.62806673209</v>
      </c>
      <c r="V499" s="71" t="n">
        <f aca="false">IF(V$5="A",0,U498)</f>
        <v>2514.08949950932</v>
      </c>
      <c r="W499" s="71" t="n">
        <f aca="false">IF(W$5="A",0,V498)</f>
        <v>3405.6105986261</v>
      </c>
      <c r="X499" s="71" t="n">
        <f aca="false">IF(X$5="A",0,W498)</f>
        <v>0</v>
      </c>
      <c r="Y499" s="71" t="n">
        <f aca="false">IF(Y$5="A",0,X498)</f>
        <v>0</v>
      </c>
      <c r="Z499" s="71" t="n">
        <f aca="false">IF(Z$5="A",0,Y498)</f>
        <v>0</v>
      </c>
      <c r="AA499" s="71" t="n">
        <f aca="false">IF(AA$5="A",0,Z498)</f>
        <v>0</v>
      </c>
      <c r="AB499" s="71" t="n">
        <f aca="false">IF(AB$5="A",0,AA498)</f>
        <v>0</v>
      </c>
    </row>
    <row r="500" customFormat="false" ht="15" hidden="false" customHeight="false" outlineLevel="0" collapsed="false">
      <c r="A500" s="29" t="s">
        <v>847</v>
      </c>
      <c r="B500" s="60" t="s">
        <v>848</v>
      </c>
      <c r="C500" s="61" t="n">
        <f aca="false">P500</f>
        <v>0</v>
      </c>
      <c r="D500" s="61" t="n">
        <f aca="false">AB500</f>
        <v>0</v>
      </c>
      <c r="E500" s="62" t="n">
        <f aca="false">Engagement_Register!$X$37+E494+E498-E499-E495</f>
        <v>0</v>
      </c>
      <c r="F500" s="71" t="n">
        <f aca="false">E500+F494+F498-F499-F495</f>
        <v>0</v>
      </c>
      <c r="G500" s="71" t="n">
        <f aca="false">F500+G494+G498-G499-G495</f>
        <v>0</v>
      </c>
      <c r="H500" s="71" t="n">
        <f aca="false">G500+H494+H498-H499-H495</f>
        <v>0</v>
      </c>
      <c r="I500" s="71" t="n">
        <f aca="false">H500+I494+I498-I499-I495</f>
        <v>0</v>
      </c>
      <c r="J500" s="71" t="n">
        <f aca="false">I500+J494+J498-J499-J495</f>
        <v>0</v>
      </c>
      <c r="K500" s="71" t="n">
        <f aca="false">J500+K494+K498-K499-K495</f>
        <v>0</v>
      </c>
      <c r="L500" s="71" t="n">
        <f aca="false">K500+L494+L498-L499-L495</f>
        <v>0</v>
      </c>
      <c r="M500" s="71" t="n">
        <f aca="false">L500+M494+M498-M499-M495</f>
        <v>0</v>
      </c>
      <c r="N500" s="71" t="n">
        <f aca="false">M500+N494+N498-N499-N495</f>
        <v>0</v>
      </c>
      <c r="O500" s="71" t="n">
        <f aca="false">N500+O494+O498-O499-O495</f>
        <v>0</v>
      </c>
      <c r="P500" s="71" t="n">
        <f aca="false">O500+P494+P498-P499-P495</f>
        <v>0</v>
      </c>
      <c r="Q500" s="71" t="n">
        <f aca="false">P500+Q494+Q498-Q499-Q495</f>
        <v>39763.2785334642</v>
      </c>
      <c r="R500" s="71" t="n">
        <f aca="false">Q500+R494+R498-R499-R495</f>
        <v>41005.8809876349</v>
      </c>
      <c r="S500" s="71" t="n">
        <f aca="false">R500+S494+S498-S499-S495</f>
        <v>43988.1268776447</v>
      </c>
      <c r="T500" s="71" t="n">
        <f aca="false">S500+T494+T498-T499-T495</f>
        <v>45976.290804318</v>
      </c>
      <c r="U500" s="71" t="n">
        <f aca="false">T500+U494+U498-U499-U495</f>
        <v>35041.3892076153</v>
      </c>
      <c r="V500" s="71" t="n">
        <f aca="false">U500+V494+V498-V499-V495</f>
        <v>47467.4137493229</v>
      </c>
      <c r="W500" s="71" t="n">
        <f aca="false">V500+W494+W498-W499-W495</f>
        <v>0</v>
      </c>
      <c r="X500" s="71" t="n">
        <f aca="false">W500+X494+X498-X499-X495</f>
        <v>0</v>
      </c>
      <c r="Y500" s="71" t="n">
        <f aca="false">X500+Y494+Y498-Y499-Y495</f>
        <v>0</v>
      </c>
      <c r="Z500" s="71" t="n">
        <f aca="false">Y500+Z494+Z498-Z499-Z495</f>
        <v>0</v>
      </c>
      <c r="AA500" s="71" t="n">
        <f aca="false">Z500+AA494+AA498-AA499-AA495</f>
        <v>0</v>
      </c>
      <c r="AB500" s="71" t="n">
        <f aca="false">AA500+AB494+AB498-AB499-AB495</f>
        <v>0</v>
      </c>
    </row>
    <row r="501" customFormat="false" ht="15" hidden="false" customHeight="false" outlineLevel="0" collapsed="false">
      <c r="A501" s="29" t="s">
        <v>890</v>
      </c>
      <c r="B501" s="60" t="s">
        <v>850</v>
      </c>
      <c r="C501" s="61" t="n">
        <f aca="false">P501</f>
        <v>226031.904</v>
      </c>
      <c r="D501" s="61" t="n">
        <f aca="false">AB501</f>
        <v>0</v>
      </c>
      <c r="E501" s="62" t="n">
        <f aca="false">MAX(0,Engagement_Register!$AM$37-E491)*Engagement_Register!$AE$37*Assumptions!E$194*(1-Engagement_Register!$AS$37)</f>
        <v>226031.904</v>
      </c>
      <c r="F501" s="62" t="n">
        <f aca="false">MAX(0,Engagement_Register!$AM$37-F491)*Engagement_Register!$AE$37*Assumptions!F$194*(1-Engagement_Register!$AS$37)</f>
        <v>226031.904</v>
      </c>
      <c r="G501" s="62" t="n">
        <f aca="false">MAX(0,Engagement_Register!$AM$37-G491)*Engagement_Register!$AE$37*Assumptions!G$194*(1-Engagement_Register!$AS$37)</f>
        <v>226031.904</v>
      </c>
      <c r="H501" s="62" t="n">
        <f aca="false">MAX(0,Engagement_Register!$AM$37-H491)*Engagement_Register!$AE$37*Assumptions!H$194*(1-Engagement_Register!$AS$37)</f>
        <v>226031.904</v>
      </c>
      <c r="I501" s="62" t="n">
        <f aca="false">MAX(0,Engagement_Register!$AM$37-I491)*Engagement_Register!$AE$37*Assumptions!I$194*(1-Engagement_Register!$AS$37)</f>
        <v>226031.904</v>
      </c>
      <c r="J501" s="62" t="n">
        <f aca="false">MAX(0,Engagement_Register!$AM$37-J491)*Engagement_Register!$AE$37*Assumptions!J$194*(1-Engagement_Register!$AS$37)</f>
        <v>226031.904</v>
      </c>
      <c r="K501" s="62" t="n">
        <f aca="false">MAX(0,Engagement_Register!$AM$37-K491)*Engagement_Register!$AE$37*Assumptions!K$194*(1-Engagement_Register!$AS$37)</f>
        <v>226031.904</v>
      </c>
      <c r="L501" s="62" t="n">
        <f aca="false">MAX(0,Engagement_Register!$AM$37-L491)*Engagement_Register!$AE$37*Assumptions!L$194*(1-Engagement_Register!$AS$37)</f>
        <v>226031.904</v>
      </c>
      <c r="M501" s="62" t="n">
        <f aca="false">MAX(0,Engagement_Register!$AM$37-M491)*Engagement_Register!$AE$37*Assumptions!M$194*(1-Engagement_Register!$AS$37)</f>
        <v>226031.904</v>
      </c>
      <c r="N501" s="62" t="n">
        <f aca="false">MAX(0,Engagement_Register!$AM$37-N491)*Engagement_Register!$AE$37*Assumptions!N$194*(1-Engagement_Register!$AS$37)</f>
        <v>226031.904</v>
      </c>
      <c r="O501" s="62" t="n">
        <f aca="false">MAX(0,Engagement_Register!$AM$37-O491)*Engagement_Register!$AE$37*Assumptions!O$194*(1-Engagement_Register!$AS$37)</f>
        <v>226031.904</v>
      </c>
      <c r="P501" s="62" t="n">
        <f aca="false">MAX(0,Engagement_Register!$AM$37-P491)*Engagement_Register!$AE$37*Assumptions!P$194*(1-Engagement_Register!$AS$37)</f>
        <v>226031.904</v>
      </c>
      <c r="Q501" s="62" t="n">
        <f aca="false">MAX(0,Engagement_Register!$AM$37-Q491)*Engagement_Register!$AE$37*Assumptions!Q$194*(1-Engagement_Register!$AS$37)</f>
        <v>198162.76914371</v>
      </c>
      <c r="R501" s="62" t="n">
        <f aca="false">MAX(0,Engagement_Register!$AM$37-R491)*Engagement_Register!$AE$37*Assumptions!R$194*(1-Engagement_Register!$AS$37)</f>
        <v>160098.90778316</v>
      </c>
      <c r="S501" s="62" t="n">
        <f aca="false">MAX(0,Engagement_Register!$AM$37-S491)*Engagement_Register!$AE$37*Assumptions!S$194*(1-Engagement_Register!$AS$37)</f>
        <v>119266.765596389</v>
      </c>
      <c r="T501" s="62" t="n">
        <f aca="false">MAX(0,Engagement_Register!$AM$37-T491)*Engagement_Register!$AE$37*Assumptions!T$194*(1-Engagement_Register!$AS$37)</f>
        <v>76589.1028588028</v>
      </c>
      <c r="U501" s="62" t="n">
        <f aca="false">MAX(0,Engagement_Register!$AM$37-U491)*Engagement_Register!$AE$37*Assumptions!U$194*(1-Engagement_Register!$AS$37)</f>
        <v>44061.8031506968</v>
      </c>
      <c r="V501" s="62" t="n">
        <f aca="false">MAX(0,Engagement_Register!$AM$37-V491)*Engagement_Register!$AE$37*Assumptions!V$194*(1-Engagement_Register!$AS$37)</f>
        <v>0</v>
      </c>
      <c r="W501" s="62" t="n">
        <f aca="false">MAX(0,Engagement_Register!$AM$37-W491)*Engagement_Register!$AE$37*Assumptions!W$194*(1-Engagement_Register!$AS$37)</f>
        <v>0</v>
      </c>
      <c r="X501" s="62" t="n">
        <f aca="false">MAX(0,Engagement_Register!$AM$37-X491)*Engagement_Register!$AE$37*Assumptions!X$194*(1-Engagement_Register!$AS$37)</f>
        <v>0</v>
      </c>
      <c r="Y501" s="62" t="n">
        <f aca="false">MAX(0,Engagement_Register!$AM$37-Y491)*Engagement_Register!$AE$37*Assumptions!Y$194*(1-Engagement_Register!$AS$37)</f>
        <v>0</v>
      </c>
      <c r="Z501" s="62" t="n">
        <f aca="false">MAX(0,Engagement_Register!$AM$37-Z491)*Engagement_Register!$AE$37*Assumptions!Z$194*(1-Engagement_Register!$AS$37)</f>
        <v>0</v>
      </c>
      <c r="AA501" s="62" t="n">
        <f aca="false">MAX(0,Engagement_Register!$AM$37-AA491)*Engagement_Register!$AE$37*Assumptions!AA$194*(1-Engagement_Register!$AS$37)</f>
        <v>0</v>
      </c>
      <c r="AB501" s="62" t="n">
        <f aca="false">MAX(0,Engagement_Register!$AM$37-AB491)*Engagement_Register!$AE$37*Assumptions!AB$194*(1-Engagement_Register!$AS$37)</f>
        <v>0</v>
      </c>
    </row>
    <row r="503" customFormat="false" ht="15" hidden="false" customHeight="false" outlineLevel="0" collapsed="false">
      <c r="A503" s="23" t="s">
        <v>898</v>
      </c>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row>
    <row r="504" customFormat="false" ht="15" hidden="false" customHeight="false" outlineLevel="0" collapsed="false">
      <c r="A504" s="29" t="s">
        <v>736</v>
      </c>
      <c r="B504" s="60" t="s">
        <v>832</v>
      </c>
      <c r="C504" s="66" t="n">
        <f aca="false">P504</f>
        <v>0</v>
      </c>
      <c r="D504" s="66" t="n">
        <f aca="false">AB504</f>
        <v>637.875</v>
      </c>
      <c r="E504" s="67" t="n">
        <f aca="false">Engagement_Register!$T$38+E40</f>
        <v>0</v>
      </c>
      <c r="F504" s="72" t="n">
        <f aca="false">E504+F40</f>
        <v>0</v>
      </c>
      <c r="G504" s="72" t="n">
        <f aca="false">F504+G40</f>
        <v>0</v>
      </c>
      <c r="H504" s="72" t="n">
        <f aca="false">G504+H40</f>
        <v>0</v>
      </c>
      <c r="I504" s="72" t="n">
        <f aca="false">H504+I40</f>
        <v>0</v>
      </c>
      <c r="J504" s="72" t="n">
        <f aca="false">I504+J40</f>
        <v>0</v>
      </c>
      <c r="K504" s="72" t="n">
        <f aca="false">J504+K40</f>
        <v>0</v>
      </c>
      <c r="L504" s="72" t="n">
        <f aca="false">K504+L40</f>
        <v>0</v>
      </c>
      <c r="M504" s="72" t="n">
        <f aca="false">L504+M40</f>
        <v>0</v>
      </c>
      <c r="N504" s="72" t="n">
        <f aca="false">M504+N40</f>
        <v>0</v>
      </c>
      <c r="O504" s="72" t="n">
        <f aca="false">N504+O40</f>
        <v>0</v>
      </c>
      <c r="P504" s="72" t="n">
        <f aca="false">O504+P40</f>
        <v>0</v>
      </c>
      <c r="Q504" s="72" t="n">
        <f aca="false">P504+Q40</f>
        <v>0</v>
      </c>
      <c r="R504" s="72" t="n">
        <f aca="false">Q504+R40</f>
        <v>100.813577586207</v>
      </c>
      <c r="S504" s="72" t="n">
        <f aca="false">R504+S40</f>
        <v>208.959051724138</v>
      </c>
      <c r="T504" s="72" t="n">
        <f aca="false">S504+T40</f>
        <v>321.992456896552</v>
      </c>
      <c r="U504" s="72" t="n">
        <f aca="false">T504+U40</f>
        <v>408.14224137931</v>
      </c>
      <c r="V504" s="72" t="n">
        <f aca="false">U504+V40</f>
        <v>524.841594827586</v>
      </c>
      <c r="W504" s="72" t="n">
        <f aca="false">V504+W40</f>
        <v>637.875</v>
      </c>
      <c r="X504" s="72" t="n">
        <f aca="false">W504+X40</f>
        <v>637.875</v>
      </c>
      <c r="Y504" s="72" t="n">
        <f aca="false">X504+Y40</f>
        <v>637.875</v>
      </c>
      <c r="Z504" s="72" t="n">
        <f aca="false">Y504+Z40</f>
        <v>637.875</v>
      </c>
      <c r="AA504" s="72" t="n">
        <f aca="false">Z504+AA40</f>
        <v>637.875</v>
      </c>
      <c r="AB504" s="72" t="n">
        <f aca="false">AA504+AB40</f>
        <v>637.875</v>
      </c>
    </row>
    <row r="505" customFormat="false" ht="15" hidden="false" customHeight="false" outlineLevel="0" collapsed="false">
      <c r="A505" s="29" t="s">
        <v>852</v>
      </c>
      <c r="B505" s="60" t="s">
        <v>853</v>
      </c>
      <c r="C505" s="66" t="n">
        <f aca="false">P505</f>
        <v>637.875</v>
      </c>
      <c r="D505" s="66" t="n">
        <f aca="false">AB505</f>
        <v>637.875</v>
      </c>
      <c r="E505" s="67" t="n">
        <f aca="false">IF(E$5="A",Engagement_Register!$AM$38,Engagement_Register!$AM$38)</f>
        <v>637.875</v>
      </c>
      <c r="F505" s="67" t="n">
        <f aca="false">IF(F$5="A",Engagement_Register!$AM$38,Engagement_Register!$AM$38)</f>
        <v>637.875</v>
      </c>
      <c r="G505" s="67" t="n">
        <f aca="false">IF(G$5="A",Engagement_Register!$AM$38,Engagement_Register!$AM$38)</f>
        <v>637.875</v>
      </c>
      <c r="H505" s="67" t="n">
        <f aca="false">IF(H$5="A",Engagement_Register!$AM$38,Engagement_Register!$AM$38)</f>
        <v>637.875</v>
      </c>
      <c r="I505" s="67" t="n">
        <f aca="false">IF(I$5="A",Engagement_Register!$AM$38,Engagement_Register!$AM$38)</f>
        <v>637.875</v>
      </c>
      <c r="J505" s="67" t="n">
        <f aca="false">IF(J$5="A",Engagement_Register!$AM$38,Engagement_Register!$AM$38)</f>
        <v>637.875</v>
      </c>
      <c r="K505" s="67" t="n">
        <f aca="false">IF(K$5="A",Engagement_Register!$AM$38,Engagement_Register!$AM$38)</f>
        <v>637.875</v>
      </c>
      <c r="L505" s="67" t="n">
        <f aca="false">IF(L$5="A",Engagement_Register!$AM$38,Engagement_Register!$AM$38)</f>
        <v>637.875</v>
      </c>
      <c r="M505" s="67" t="n">
        <f aca="false">IF(M$5="A",Engagement_Register!$AM$38,Engagement_Register!$AM$38)</f>
        <v>637.875</v>
      </c>
      <c r="N505" s="67" t="n">
        <f aca="false">IF(N$5="A",Engagement_Register!$AM$38,Engagement_Register!$AM$38)</f>
        <v>637.875</v>
      </c>
      <c r="O505" s="67" t="n">
        <f aca="false">IF(O$5="A",Engagement_Register!$AM$38,Engagement_Register!$AM$38)</f>
        <v>637.875</v>
      </c>
      <c r="P505" s="67" t="n">
        <f aca="false">IF(P$5="A",Engagement_Register!$AM$38,Engagement_Register!$AM$38)</f>
        <v>637.875</v>
      </c>
      <c r="Q505" s="67" t="n">
        <f aca="false">IF(Q$5="A",Engagement_Register!$AM$38,Engagement_Register!$AM$38)</f>
        <v>637.875</v>
      </c>
      <c r="R505" s="67" t="n">
        <f aca="false">IF(R$5="A",Engagement_Register!$AM$38,Engagement_Register!$AM$38)</f>
        <v>637.875</v>
      </c>
      <c r="S505" s="67" t="n">
        <f aca="false">IF(S$5="A",Engagement_Register!$AM$38,Engagement_Register!$AM$38)</f>
        <v>637.875</v>
      </c>
      <c r="T505" s="67" t="n">
        <f aca="false">IF(T$5="A",Engagement_Register!$AM$38,Engagement_Register!$AM$38)</f>
        <v>637.875</v>
      </c>
      <c r="U505" s="67" t="n">
        <f aca="false">IF(U$5="A",Engagement_Register!$AM$38,Engagement_Register!$AM$38)</f>
        <v>637.875</v>
      </c>
      <c r="V505" s="67" t="n">
        <f aca="false">IF(V$5="A",Engagement_Register!$AM$38,Engagement_Register!$AM$38)</f>
        <v>637.875</v>
      </c>
      <c r="W505" s="67" t="n">
        <f aca="false">IF(W$5="A",Engagement_Register!$AM$38,Engagement_Register!$AM$38)</f>
        <v>637.875</v>
      </c>
      <c r="X505" s="67" t="n">
        <f aca="false">IF(X$5="A",Engagement_Register!$AM$38,Engagement_Register!$AM$38)</f>
        <v>637.875</v>
      </c>
      <c r="Y505" s="67" t="n">
        <f aca="false">IF(Y$5="A",Engagement_Register!$AM$38,Engagement_Register!$AM$38)</f>
        <v>637.875</v>
      </c>
      <c r="Z505" s="67" t="n">
        <f aca="false">IF(Z$5="A",Engagement_Register!$AM$38,Engagement_Register!$AM$38)</f>
        <v>637.875</v>
      </c>
      <c r="AA505" s="67" t="n">
        <f aca="false">IF(AA$5="A",Engagement_Register!$AM$38,Engagement_Register!$AM$38)</f>
        <v>637.875</v>
      </c>
      <c r="AB505" s="67" t="n">
        <f aca="false">IF(AB$5="A",Engagement_Register!$AM$38,Engagement_Register!$AM$38)</f>
        <v>637.875</v>
      </c>
    </row>
    <row r="506" customFormat="false" ht="15" hidden="false" customHeight="false" outlineLevel="0" collapsed="false">
      <c r="A506" s="29" t="s">
        <v>854</v>
      </c>
      <c r="B506" s="60" t="s">
        <v>855</v>
      </c>
      <c r="C506" s="63" t="n">
        <f aca="false">P506</f>
        <v>0</v>
      </c>
      <c r="D506" s="63" t="n">
        <f aca="false">AB506</f>
        <v>1</v>
      </c>
      <c r="E506" s="64" t="n">
        <f aca="false">IF(E505&lt;=0,0,MIN(1,E504/E505))</f>
        <v>0</v>
      </c>
      <c r="F506" s="64" t="n">
        <f aca="false">IF(F505&lt;=0,0,MIN(1,F504/F505))</f>
        <v>0</v>
      </c>
      <c r="G506" s="64" t="n">
        <f aca="false">IF(G505&lt;=0,0,MIN(1,G504/G505))</f>
        <v>0</v>
      </c>
      <c r="H506" s="64" t="n">
        <f aca="false">IF(H505&lt;=0,0,MIN(1,H504/H505))</f>
        <v>0</v>
      </c>
      <c r="I506" s="64" t="n">
        <f aca="false">IF(I505&lt;=0,0,MIN(1,I504/I505))</f>
        <v>0</v>
      </c>
      <c r="J506" s="64" t="n">
        <f aca="false">IF(J505&lt;=0,0,MIN(1,J504/J505))</f>
        <v>0</v>
      </c>
      <c r="K506" s="64" t="n">
        <f aca="false">IF(K505&lt;=0,0,MIN(1,K504/K505))</f>
        <v>0</v>
      </c>
      <c r="L506" s="64" t="n">
        <f aca="false">IF(L505&lt;=0,0,MIN(1,L504/L505))</f>
        <v>0</v>
      </c>
      <c r="M506" s="64" t="n">
        <f aca="false">IF(M505&lt;=0,0,MIN(1,M504/M505))</f>
        <v>0</v>
      </c>
      <c r="N506" s="64" t="n">
        <f aca="false">IF(N505&lt;=0,0,MIN(1,N504/N505))</f>
        <v>0</v>
      </c>
      <c r="O506" s="64" t="n">
        <f aca="false">IF(O505&lt;=0,0,MIN(1,O504/O505))</f>
        <v>0</v>
      </c>
      <c r="P506" s="64" t="n">
        <f aca="false">IF(P505&lt;=0,0,MIN(1,P504/P505))</f>
        <v>0</v>
      </c>
      <c r="Q506" s="64" t="n">
        <f aca="false">IF(Q505&lt;=0,0,MIN(1,Q504/Q505))</f>
        <v>0</v>
      </c>
      <c r="R506" s="64" t="n">
        <f aca="false">IF(R505&lt;=0,0,MIN(1,R504/R505))</f>
        <v>0.158045977011494</v>
      </c>
      <c r="S506" s="64" t="n">
        <f aca="false">IF(S505&lt;=0,0,MIN(1,S504/S505))</f>
        <v>0.327586206896552</v>
      </c>
      <c r="T506" s="64" t="n">
        <f aca="false">IF(T505&lt;=0,0,MIN(1,T504/T505))</f>
        <v>0.504789272030651</v>
      </c>
      <c r="U506" s="64" t="n">
        <f aca="false">IF(U505&lt;=0,0,MIN(1,U504/U505))</f>
        <v>0.639846743295019</v>
      </c>
      <c r="V506" s="64" t="n">
        <f aca="false">IF(V505&lt;=0,0,MIN(1,V504/V505))</f>
        <v>0.8227969348659</v>
      </c>
      <c r="W506" s="64" t="n">
        <f aca="false">IF(W505&lt;=0,0,MIN(1,W504/W505))</f>
        <v>1</v>
      </c>
      <c r="X506" s="64" t="n">
        <f aca="false">IF(X505&lt;=0,0,MIN(1,X504/X505))</f>
        <v>1</v>
      </c>
      <c r="Y506" s="64" t="n">
        <f aca="false">IF(Y505&lt;=0,0,MIN(1,Y504/Y505))</f>
        <v>1</v>
      </c>
      <c r="Z506" s="64" t="n">
        <f aca="false">IF(Z505&lt;=0,0,MIN(1,Z504/Z505))</f>
        <v>1</v>
      </c>
      <c r="AA506" s="64" t="n">
        <f aca="false">IF(AA505&lt;=0,0,MIN(1,AA504/AA505))</f>
        <v>1</v>
      </c>
      <c r="AB506" s="64" t="n">
        <f aca="false">IF(AB505&lt;=0,0,MIN(1,AB504/AB505))</f>
        <v>1</v>
      </c>
    </row>
    <row r="507" customFormat="false" ht="15" hidden="false" customHeight="false" outlineLevel="0" collapsed="false">
      <c r="A507" s="29" t="s">
        <v>833</v>
      </c>
      <c r="B507" s="60" t="s">
        <v>834</v>
      </c>
      <c r="C507" s="61" t="n">
        <f aca="false">SUM(E507:P507)</f>
        <v>0</v>
      </c>
      <c r="D507" s="61" t="n">
        <f aca="false">SUM(Q507:AB507)</f>
        <v>130488.813</v>
      </c>
      <c r="E507" s="62" t="n">
        <f aca="false">E40*Engagement_Register!$AD$38*Assumptions!E$194</f>
        <v>0</v>
      </c>
      <c r="F507" s="62" t="n">
        <f aca="false">F40*Engagement_Register!$AD$38*Assumptions!F$194</f>
        <v>0</v>
      </c>
      <c r="G507" s="62" t="n">
        <f aca="false">G40*Engagement_Register!$AD$38*Assumptions!G$194</f>
        <v>0</v>
      </c>
      <c r="H507" s="62" t="n">
        <f aca="false">H40*Engagement_Register!$AD$38*Assumptions!H$194</f>
        <v>0</v>
      </c>
      <c r="I507" s="62" t="n">
        <f aca="false">I40*Engagement_Register!$AD$38*Assumptions!I$194</f>
        <v>0</v>
      </c>
      <c r="J507" s="62" t="n">
        <f aca="false">J40*Engagement_Register!$AD$38*Assumptions!J$194</f>
        <v>0</v>
      </c>
      <c r="K507" s="62" t="n">
        <f aca="false">K40*Engagement_Register!$AD$38*Assumptions!K$194</f>
        <v>0</v>
      </c>
      <c r="L507" s="62" t="n">
        <f aca="false">L40*Engagement_Register!$AD$38*Assumptions!L$194</f>
        <v>0</v>
      </c>
      <c r="M507" s="62" t="n">
        <f aca="false">M40*Engagement_Register!$AD$38*Assumptions!M$194</f>
        <v>0</v>
      </c>
      <c r="N507" s="62" t="n">
        <f aca="false">N40*Engagement_Register!$AD$38*Assumptions!N$194</f>
        <v>0</v>
      </c>
      <c r="O507" s="62" t="n">
        <f aca="false">O40*Engagement_Register!$AD$38*Assumptions!O$194</f>
        <v>0</v>
      </c>
      <c r="P507" s="62" t="n">
        <f aca="false">P40*Engagement_Register!$AD$38*Assumptions!P$194</f>
        <v>0</v>
      </c>
      <c r="Q507" s="62" t="n">
        <f aca="false">Q40*Engagement_Register!$AD$38*Assumptions!Q$194</f>
        <v>0</v>
      </c>
      <c r="R507" s="62" t="n">
        <f aca="false">R40*Engagement_Register!$AD$38*Assumptions!R$194</f>
        <v>20623.2319396552</v>
      </c>
      <c r="S507" s="62" t="n">
        <f aca="false">S40*Engagement_Register!$AD$38*Assumptions!S$194</f>
        <v>22123.1033534483</v>
      </c>
      <c r="T507" s="62" t="n">
        <f aca="false">T40*Engagement_Register!$AD$38*Assumptions!T$194</f>
        <v>23123.0176293103</v>
      </c>
      <c r="U507" s="62" t="n">
        <f aca="false">U40*Engagement_Register!$AD$38*Assumptions!U$194</f>
        <v>17623.489112069</v>
      </c>
      <c r="V507" s="62" t="n">
        <f aca="false">V40*Engagement_Register!$AD$38*Assumptions!V$194</f>
        <v>23872.9533362069</v>
      </c>
      <c r="W507" s="62" t="n">
        <f aca="false">W40*Engagement_Register!$AD$38*Assumptions!W$194</f>
        <v>23123.0176293103</v>
      </c>
      <c r="X507" s="62" t="n">
        <f aca="false">X40*Engagement_Register!$AD$38*Assumptions!X$194</f>
        <v>0</v>
      </c>
      <c r="Y507" s="62" t="n">
        <f aca="false">Y40*Engagement_Register!$AD$38*Assumptions!Y$194</f>
        <v>0</v>
      </c>
      <c r="Z507" s="62" t="n">
        <f aca="false">Z40*Engagement_Register!$AD$38*Assumptions!Z$194</f>
        <v>0</v>
      </c>
      <c r="AA507" s="62" t="n">
        <f aca="false">AA40*Engagement_Register!$AD$38*Assumptions!AA$194</f>
        <v>0</v>
      </c>
      <c r="AB507" s="62" t="n">
        <f aca="false">AB40*Engagement_Register!$AD$38*Assumptions!AB$194</f>
        <v>0</v>
      </c>
    </row>
    <row r="508" customFormat="false" ht="15" hidden="false" customHeight="false" outlineLevel="0" collapsed="false">
      <c r="A508" s="29" t="s">
        <v>835</v>
      </c>
      <c r="B508" s="60" t="s">
        <v>865</v>
      </c>
      <c r="C508" s="61" t="n">
        <f aca="false">SUM(E508:P508)</f>
        <v>0</v>
      </c>
      <c r="D508" s="61" t="n">
        <f aca="false">SUM(Q508:AB508)</f>
        <v>122850</v>
      </c>
      <c r="E508" s="62" t="n">
        <f aca="false">E40*Engagement_Register!$AE$38</f>
        <v>0</v>
      </c>
      <c r="F508" s="62" t="n">
        <f aca="false">F40*Engagement_Register!$AE$38</f>
        <v>0</v>
      </c>
      <c r="G508" s="62" t="n">
        <f aca="false">G40*Engagement_Register!$AE$38</f>
        <v>0</v>
      </c>
      <c r="H508" s="62" t="n">
        <f aca="false">H40*Engagement_Register!$AE$38</f>
        <v>0</v>
      </c>
      <c r="I508" s="62" t="n">
        <f aca="false">I40*Engagement_Register!$AE$38</f>
        <v>0</v>
      </c>
      <c r="J508" s="62" t="n">
        <f aca="false">J40*Engagement_Register!$AE$38</f>
        <v>0</v>
      </c>
      <c r="K508" s="62" t="n">
        <f aca="false">K40*Engagement_Register!$AE$38</f>
        <v>0</v>
      </c>
      <c r="L508" s="62" t="n">
        <f aca="false">L40*Engagement_Register!$AE$38</f>
        <v>0</v>
      </c>
      <c r="M508" s="62" t="n">
        <f aca="false">M40*Engagement_Register!$AE$38</f>
        <v>0</v>
      </c>
      <c r="N508" s="62" t="n">
        <f aca="false">N40*Engagement_Register!$AE$38</f>
        <v>0</v>
      </c>
      <c r="O508" s="62" t="n">
        <f aca="false">O40*Engagement_Register!$AE$38</f>
        <v>0</v>
      </c>
      <c r="P508" s="62" t="n">
        <f aca="false">P40*Engagement_Register!$AE$38</f>
        <v>0</v>
      </c>
      <c r="Q508" s="62" t="n">
        <f aca="false">Q40*Engagement_Register!$AE$38</f>
        <v>0</v>
      </c>
      <c r="R508" s="62" t="n">
        <f aca="false">R40*Engagement_Register!$AE$38</f>
        <v>19415.9482758621</v>
      </c>
      <c r="S508" s="62" t="n">
        <f aca="false">S40*Engagement_Register!$AE$38</f>
        <v>20828.0172413793</v>
      </c>
      <c r="T508" s="62" t="n">
        <f aca="false">T40*Engagement_Register!$AE$38</f>
        <v>21769.3965517241</v>
      </c>
      <c r="U508" s="62" t="n">
        <f aca="false">U40*Engagement_Register!$AE$38</f>
        <v>16591.8103448276</v>
      </c>
      <c r="V508" s="62" t="n">
        <f aca="false">V40*Engagement_Register!$AE$38</f>
        <v>22475.4310344828</v>
      </c>
      <c r="W508" s="62" t="n">
        <f aca="false">W40*Engagement_Register!$AE$38</f>
        <v>21769.3965517241</v>
      </c>
      <c r="X508" s="62" t="n">
        <f aca="false">X40*Engagement_Register!$AE$38</f>
        <v>0</v>
      </c>
      <c r="Y508" s="62" t="n">
        <f aca="false">Y40*Engagement_Register!$AE$38</f>
        <v>0</v>
      </c>
      <c r="Z508" s="62" t="n">
        <f aca="false">Z40*Engagement_Register!$AE$38</f>
        <v>0</v>
      </c>
      <c r="AA508" s="62" t="n">
        <f aca="false">AA40*Engagement_Register!$AE$38</f>
        <v>0</v>
      </c>
      <c r="AB508" s="62" t="n">
        <f aca="false">AB40*Engagement_Register!$AE$38</f>
        <v>0</v>
      </c>
    </row>
    <row r="509" customFormat="false" ht="15" hidden="false" customHeight="false" outlineLevel="0" collapsed="false">
      <c r="A509" s="29" t="s">
        <v>742</v>
      </c>
      <c r="B509" s="60" t="s">
        <v>866</v>
      </c>
      <c r="C509" s="61" t="n">
        <f aca="false">P509</f>
        <v>0</v>
      </c>
      <c r="D509" s="61" t="n">
        <f aca="false">AB509</f>
        <v>117000</v>
      </c>
      <c r="E509" s="62" t="n">
        <f aca="false">IF(E$5="A",Engagement_Register!$U$38+0,Engagement_Register!$AP$38*E506)</f>
        <v>0</v>
      </c>
      <c r="F509" s="62" t="n">
        <f aca="false">IF(F$5="A",E509+0,Engagement_Register!$AP$38*F506)</f>
        <v>0</v>
      </c>
      <c r="G509" s="62" t="n">
        <f aca="false">IF(G$5="A",F509+0,Engagement_Register!$AP$38*G506)</f>
        <v>0</v>
      </c>
      <c r="H509" s="62" t="n">
        <f aca="false">IF(H$5="A",G509+0,Engagement_Register!$AP$38*H506)</f>
        <v>0</v>
      </c>
      <c r="I509" s="62" t="n">
        <f aca="false">IF(I$5="A",H509+0,Engagement_Register!$AP$38*I506)</f>
        <v>0</v>
      </c>
      <c r="J509" s="62" t="n">
        <f aca="false">IF(J$5="A",I509+0,Engagement_Register!$AP$38*J506)</f>
        <v>0</v>
      </c>
      <c r="K509" s="62" t="n">
        <f aca="false">IF(K$5="A",J509+0,Engagement_Register!$AP$38*K506)</f>
        <v>0</v>
      </c>
      <c r="L509" s="62" t="n">
        <f aca="false">IF(L$5="A",K509+0,Engagement_Register!$AP$38*L506)</f>
        <v>0</v>
      </c>
      <c r="M509" s="62" t="n">
        <f aca="false">IF(M$5="A",L509+0,Engagement_Register!$AP$38*M506)</f>
        <v>0</v>
      </c>
      <c r="N509" s="62" t="n">
        <f aca="false">IF(N$5="A",M509+0,Engagement_Register!$AP$38*N506)</f>
        <v>0</v>
      </c>
      <c r="O509" s="62" t="n">
        <f aca="false">IF(O$5="A",N509+0,Engagement_Register!$AP$38*O506)</f>
        <v>0</v>
      </c>
      <c r="P509" s="62" t="n">
        <f aca="false">IF(P$5="A",O509+0,Engagement_Register!$AP$38*P506)</f>
        <v>0</v>
      </c>
      <c r="Q509" s="62" t="n">
        <f aca="false">IF(Q$5="A",P509+0,Engagement_Register!$AP$38*Q506)</f>
        <v>0</v>
      </c>
      <c r="R509" s="62" t="n">
        <f aca="false">IF(R$5="A",Q509+0,Engagement_Register!$AP$38*R506)</f>
        <v>18491.3793103448</v>
      </c>
      <c r="S509" s="62" t="n">
        <f aca="false">IF(S$5="A",R509+0,Engagement_Register!$AP$38*S506)</f>
        <v>38327.5862068966</v>
      </c>
      <c r="T509" s="62" t="n">
        <f aca="false">IF(T$5="A",S509+0,Engagement_Register!$AP$38*T506)</f>
        <v>59060.3448275862</v>
      </c>
      <c r="U509" s="62" t="n">
        <f aca="false">IF(U$5="A",T509+0,Engagement_Register!$AP$38*U506)</f>
        <v>74862.0689655172</v>
      </c>
      <c r="V509" s="62" t="n">
        <f aca="false">IF(V$5="A",U509+0,Engagement_Register!$AP$38*V506)</f>
        <v>96267.2413793103</v>
      </c>
      <c r="W509" s="62" t="n">
        <f aca="false">IF(W$5="A",V509+0,Engagement_Register!$AP$38*W506)</f>
        <v>117000</v>
      </c>
      <c r="X509" s="62" t="n">
        <f aca="false">IF(X$5="A",W509+0,Engagement_Register!$AP$38*X506)</f>
        <v>117000</v>
      </c>
      <c r="Y509" s="62" t="n">
        <f aca="false">IF(Y$5="A",X509+0,Engagement_Register!$AP$38*Y506)</f>
        <v>117000</v>
      </c>
      <c r="Z509" s="62" t="n">
        <f aca="false">IF(Z$5="A",Y509+0,Engagement_Register!$AP$38*Z506)</f>
        <v>117000</v>
      </c>
      <c r="AA509" s="62" t="n">
        <f aca="false">IF(AA$5="A",Z509+0,Engagement_Register!$AP$38*AA506)</f>
        <v>117000</v>
      </c>
      <c r="AB509" s="62" t="n">
        <f aca="false">IF(AB$5="A",AA509+0,Engagement_Register!$AP$38*AB506)</f>
        <v>117000</v>
      </c>
    </row>
    <row r="510" customFormat="false" ht="15" hidden="false" customHeight="false" outlineLevel="0" collapsed="false">
      <c r="A510" s="68" t="s">
        <v>349</v>
      </c>
      <c r="B510" s="69" t="s">
        <v>859</v>
      </c>
      <c r="C510" s="70" t="n">
        <f aca="false">SUM(E510:P510)</f>
        <v>0</v>
      </c>
      <c r="D510" s="70" t="n">
        <f aca="false">SUM(Q510:AB510)</f>
        <v>117000</v>
      </c>
      <c r="E510" s="74" t="n">
        <f aca="false">E509-Engagement_Register!$U$38</f>
        <v>0</v>
      </c>
      <c r="F510" s="70" t="n">
        <f aca="false">F509-E509</f>
        <v>0</v>
      </c>
      <c r="G510" s="70" t="n">
        <f aca="false">G509-F509</f>
        <v>0</v>
      </c>
      <c r="H510" s="70" t="n">
        <f aca="false">H509-G509</f>
        <v>0</v>
      </c>
      <c r="I510" s="70" t="n">
        <f aca="false">I509-H509</f>
        <v>0</v>
      </c>
      <c r="J510" s="70" t="n">
        <f aca="false">J509-I509</f>
        <v>0</v>
      </c>
      <c r="K510" s="70" t="n">
        <f aca="false">K509-J509</f>
        <v>0</v>
      </c>
      <c r="L510" s="70" t="n">
        <f aca="false">L509-K509</f>
        <v>0</v>
      </c>
      <c r="M510" s="70" t="n">
        <f aca="false">M509-L509</f>
        <v>0</v>
      </c>
      <c r="N510" s="70" t="n">
        <f aca="false">N509-M509</f>
        <v>0</v>
      </c>
      <c r="O510" s="70" t="n">
        <f aca="false">O509-N509</f>
        <v>0</v>
      </c>
      <c r="P510" s="70" t="n">
        <f aca="false">P509-O509</f>
        <v>0</v>
      </c>
      <c r="Q510" s="70" t="n">
        <f aca="false">Q509-P509</f>
        <v>0</v>
      </c>
      <c r="R510" s="70" t="n">
        <f aca="false">R509-Q509</f>
        <v>18491.3793103448</v>
      </c>
      <c r="S510" s="70" t="n">
        <f aca="false">S509-R509</f>
        <v>19836.2068965517</v>
      </c>
      <c r="T510" s="70" t="n">
        <f aca="false">T509-S509</f>
        <v>20732.7586206896</v>
      </c>
      <c r="U510" s="70" t="n">
        <f aca="false">U509-T509</f>
        <v>15801.724137931</v>
      </c>
      <c r="V510" s="70" t="n">
        <f aca="false">V509-U509</f>
        <v>21405.1724137931</v>
      </c>
      <c r="W510" s="70" t="n">
        <f aca="false">W509-V509</f>
        <v>20732.7586206897</v>
      </c>
      <c r="X510" s="70" t="n">
        <f aca="false">X509-W509</f>
        <v>0</v>
      </c>
      <c r="Y510" s="70" t="n">
        <f aca="false">Y509-X509</f>
        <v>0</v>
      </c>
      <c r="Z510" s="70" t="n">
        <f aca="false">Z509-Y509</f>
        <v>0</v>
      </c>
      <c r="AA510" s="70" t="n">
        <f aca="false">AA509-Z509</f>
        <v>0</v>
      </c>
      <c r="AB510" s="70" t="n">
        <f aca="false">AB509-AA509</f>
        <v>0</v>
      </c>
    </row>
    <row r="511" customFormat="false" ht="15" hidden="false" customHeight="false" outlineLevel="0" collapsed="false">
      <c r="A511" s="29" t="s">
        <v>867</v>
      </c>
      <c r="B511" s="60" t="s">
        <v>868</v>
      </c>
      <c r="C511" s="61" t="n">
        <f aca="false">P511</f>
        <v>0</v>
      </c>
      <c r="D511" s="61" t="n">
        <f aca="false">AB511</f>
        <v>117000</v>
      </c>
      <c r="E511" s="62" t="n">
        <f aca="false">Engagement_Register!$AP$38*(Assumptions!$C$146*(Assumptions!E$187&gt;=Engagement_Register!$AG$38)+Assumptions!$C$147*(Assumptions!E$187&gt;=Engagement_Register!$AI$38)+Assumptions!$C$148*(Assumptions!E$187&gt;=Engagement_Register!$AH$38))</f>
        <v>0</v>
      </c>
      <c r="F511" s="62" t="n">
        <f aca="false">Engagement_Register!$AP$38*(Assumptions!$C$146*(Assumptions!F$187&gt;=Engagement_Register!$AG$38)+Assumptions!$C$147*(Assumptions!F$187&gt;=Engagement_Register!$AI$38)+Assumptions!$C$148*(Assumptions!F$187&gt;=Engagement_Register!$AH$38))</f>
        <v>0</v>
      </c>
      <c r="G511" s="62" t="n">
        <f aca="false">Engagement_Register!$AP$38*(Assumptions!$C$146*(Assumptions!G$187&gt;=Engagement_Register!$AG$38)+Assumptions!$C$147*(Assumptions!G$187&gt;=Engagement_Register!$AI$38)+Assumptions!$C$148*(Assumptions!G$187&gt;=Engagement_Register!$AH$38))</f>
        <v>0</v>
      </c>
      <c r="H511" s="62" t="n">
        <f aca="false">Engagement_Register!$AP$38*(Assumptions!$C$146*(Assumptions!H$187&gt;=Engagement_Register!$AG$38)+Assumptions!$C$147*(Assumptions!H$187&gt;=Engagement_Register!$AI$38)+Assumptions!$C$148*(Assumptions!H$187&gt;=Engagement_Register!$AH$38))</f>
        <v>0</v>
      </c>
      <c r="I511" s="62" t="n">
        <f aca="false">Engagement_Register!$AP$38*(Assumptions!$C$146*(Assumptions!I$187&gt;=Engagement_Register!$AG$38)+Assumptions!$C$147*(Assumptions!I$187&gt;=Engagement_Register!$AI$38)+Assumptions!$C$148*(Assumptions!I$187&gt;=Engagement_Register!$AH$38))</f>
        <v>0</v>
      </c>
      <c r="J511" s="62" t="n">
        <f aca="false">Engagement_Register!$AP$38*(Assumptions!$C$146*(Assumptions!J$187&gt;=Engagement_Register!$AG$38)+Assumptions!$C$147*(Assumptions!J$187&gt;=Engagement_Register!$AI$38)+Assumptions!$C$148*(Assumptions!J$187&gt;=Engagement_Register!$AH$38))</f>
        <v>0</v>
      </c>
      <c r="K511" s="62" t="n">
        <f aca="false">Engagement_Register!$AP$38*(Assumptions!$C$146*(Assumptions!K$187&gt;=Engagement_Register!$AG$38)+Assumptions!$C$147*(Assumptions!K$187&gt;=Engagement_Register!$AI$38)+Assumptions!$C$148*(Assumptions!K$187&gt;=Engagement_Register!$AH$38))</f>
        <v>0</v>
      </c>
      <c r="L511" s="62" t="n">
        <f aca="false">Engagement_Register!$AP$38*(Assumptions!$C$146*(Assumptions!L$187&gt;=Engagement_Register!$AG$38)+Assumptions!$C$147*(Assumptions!L$187&gt;=Engagement_Register!$AI$38)+Assumptions!$C$148*(Assumptions!L$187&gt;=Engagement_Register!$AH$38))</f>
        <v>0</v>
      </c>
      <c r="M511" s="62" t="n">
        <f aca="false">Engagement_Register!$AP$38*(Assumptions!$C$146*(Assumptions!M$187&gt;=Engagement_Register!$AG$38)+Assumptions!$C$147*(Assumptions!M$187&gt;=Engagement_Register!$AI$38)+Assumptions!$C$148*(Assumptions!M$187&gt;=Engagement_Register!$AH$38))</f>
        <v>0</v>
      </c>
      <c r="N511" s="62" t="n">
        <f aca="false">Engagement_Register!$AP$38*(Assumptions!$C$146*(Assumptions!N$187&gt;=Engagement_Register!$AG$38)+Assumptions!$C$147*(Assumptions!N$187&gt;=Engagement_Register!$AI$38)+Assumptions!$C$148*(Assumptions!N$187&gt;=Engagement_Register!$AH$38))</f>
        <v>0</v>
      </c>
      <c r="O511" s="62" t="n">
        <f aca="false">Engagement_Register!$AP$38*(Assumptions!$C$146*(Assumptions!O$187&gt;=Engagement_Register!$AG$38)+Assumptions!$C$147*(Assumptions!O$187&gt;=Engagement_Register!$AI$38)+Assumptions!$C$148*(Assumptions!O$187&gt;=Engagement_Register!$AH$38))</f>
        <v>0</v>
      </c>
      <c r="P511" s="62" t="n">
        <f aca="false">Engagement_Register!$AP$38*(Assumptions!$C$146*(Assumptions!P$187&gt;=Engagement_Register!$AG$38)+Assumptions!$C$147*(Assumptions!P$187&gt;=Engagement_Register!$AI$38)+Assumptions!$C$148*(Assumptions!P$187&gt;=Engagement_Register!$AH$38))</f>
        <v>0</v>
      </c>
      <c r="Q511" s="62" t="n">
        <f aca="false">Engagement_Register!$AP$38*(Assumptions!$C$146*(Assumptions!Q$187&gt;=Engagement_Register!$AG$38)+Assumptions!$C$147*(Assumptions!Q$187&gt;=Engagement_Register!$AI$38)+Assumptions!$C$148*(Assumptions!Q$187&gt;=Engagement_Register!$AH$38))</f>
        <v>0</v>
      </c>
      <c r="R511" s="62" t="n">
        <f aca="false">Engagement_Register!$AP$38*(Assumptions!$C$146*(Assumptions!R$187&gt;=Engagement_Register!$AG$38)+Assumptions!$C$147*(Assumptions!R$187&gt;=Engagement_Register!$AI$38)+Assumptions!$C$148*(Assumptions!R$187&gt;=Engagement_Register!$AH$38))</f>
        <v>35100</v>
      </c>
      <c r="S511" s="62" t="n">
        <f aca="false">Engagement_Register!$AP$38*(Assumptions!$C$146*(Assumptions!S$187&gt;=Engagement_Register!$AG$38)+Assumptions!$C$147*(Assumptions!S$187&gt;=Engagement_Register!$AI$38)+Assumptions!$C$148*(Assumptions!S$187&gt;=Engagement_Register!$AH$38))</f>
        <v>35100</v>
      </c>
      <c r="T511" s="62" t="n">
        <f aca="false">Engagement_Register!$AP$38*(Assumptions!$C$146*(Assumptions!T$187&gt;=Engagement_Register!$AG$38)+Assumptions!$C$147*(Assumptions!T$187&gt;=Engagement_Register!$AI$38)+Assumptions!$C$148*(Assumptions!T$187&gt;=Engagement_Register!$AH$38))</f>
        <v>35100</v>
      </c>
      <c r="U511" s="62" t="n">
        <f aca="false">Engagement_Register!$AP$38*(Assumptions!$C$146*(Assumptions!U$187&gt;=Engagement_Register!$AG$38)+Assumptions!$C$147*(Assumptions!U$187&gt;=Engagement_Register!$AI$38)+Assumptions!$C$148*(Assumptions!U$187&gt;=Engagement_Register!$AH$38))</f>
        <v>81900</v>
      </c>
      <c r="V511" s="62" t="n">
        <f aca="false">Engagement_Register!$AP$38*(Assumptions!$C$146*(Assumptions!V$187&gt;=Engagement_Register!$AG$38)+Assumptions!$C$147*(Assumptions!V$187&gt;=Engagement_Register!$AI$38)+Assumptions!$C$148*(Assumptions!V$187&gt;=Engagement_Register!$AH$38))</f>
        <v>81900</v>
      </c>
      <c r="W511" s="62" t="n">
        <f aca="false">Engagement_Register!$AP$38*(Assumptions!$C$146*(Assumptions!W$187&gt;=Engagement_Register!$AG$38)+Assumptions!$C$147*(Assumptions!W$187&gt;=Engagement_Register!$AI$38)+Assumptions!$C$148*(Assumptions!W$187&gt;=Engagement_Register!$AH$38))</f>
        <v>117000</v>
      </c>
      <c r="X511" s="62" t="n">
        <f aca="false">Engagement_Register!$AP$38*(Assumptions!$C$146*(Assumptions!X$187&gt;=Engagement_Register!$AG$38)+Assumptions!$C$147*(Assumptions!X$187&gt;=Engagement_Register!$AI$38)+Assumptions!$C$148*(Assumptions!X$187&gt;=Engagement_Register!$AH$38))</f>
        <v>117000</v>
      </c>
      <c r="Y511" s="62" t="n">
        <f aca="false">Engagement_Register!$AP$38*(Assumptions!$C$146*(Assumptions!Y$187&gt;=Engagement_Register!$AG$38)+Assumptions!$C$147*(Assumptions!Y$187&gt;=Engagement_Register!$AI$38)+Assumptions!$C$148*(Assumptions!Y$187&gt;=Engagement_Register!$AH$38))</f>
        <v>117000</v>
      </c>
      <c r="Z511" s="62" t="n">
        <f aca="false">Engagement_Register!$AP$38*(Assumptions!$C$146*(Assumptions!Z$187&gt;=Engagement_Register!$AG$38)+Assumptions!$C$147*(Assumptions!Z$187&gt;=Engagement_Register!$AI$38)+Assumptions!$C$148*(Assumptions!Z$187&gt;=Engagement_Register!$AH$38))</f>
        <v>117000</v>
      </c>
      <c r="AA511" s="62" t="n">
        <f aca="false">Engagement_Register!$AP$38*(Assumptions!$C$146*(Assumptions!AA$187&gt;=Engagement_Register!$AG$38)+Assumptions!$C$147*(Assumptions!AA$187&gt;=Engagement_Register!$AI$38)+Assumptions!$C$148*(Assumptions!AA$187&gt;=Engagement_Register!$AH$38))</f>
        <v>117000</v>
      </c>
      <c r="AB511" s="62" t="n">
        <f aca="false">Engagement_Register!$AP$38*(Assumptions!$C$146*(Assumptions!AB$187&gt;=Engagement_Register!$AG$38)+Assumptions!$C$147*(Assumptions!AB$187&gt;=Engagement_Register!$AI$38)+Assumptions!$C$148*(Assumptions!AB$187&gt;=Engagement_Register!$AH$38))</f>
        <v>117000</v>
      </c>
    </row>
    <row r="512" customFormat="false" ht="15" hidden="false" customHeight="false" outlineLevel="0" collapsed="false">
      <c r="A512" s="29" t="s">
        <v>838</v>
      </c>
      <c r="B512" s="60" t="s">
        <v>869</v>
      </c>
      <c r="C512" s="61" t="n">
        <f aca="false">SUM(E512:P512)</f>
        <v>0</v>
      </c>
      <c r="D512" s="61" t="n">
        <f aca="false">SUM(Q512:AB512)</f>
        <v>117000</v>
      </c>
      <c r="E512" s="62" t="n">
        <f aca="false">IF(E$5="A",0,MAX(0,E511-Engagement_Register!$V$38))</f>
        <v>0</v>
      </c>
      <c r="F512" s="71" t="n">
        <f aca="false">IF(F$5="A",0,MAX(0,F511-E513))</f>
        <v>0</v>
      </c>
      <c r="G512" s="71" t="n">
        <f aca="false">IF(G$5="A",0,MAX(0,G511-F513))</f>
        <v>0</v>
      </c>
      <c r="H512" s="71" t="n">
        <f aca="false">IF(H$5="A",0,MAX(0,H511-G513))</f>
        <v>0</v>
      </c>
      <c r="I512" s="71" t="n">
        <f aca="false">IF(I$5="A",0,MAX(0,I511-H513))</f>
        <v>0</v>
      </c>
      <c r="J512" s="71" t="n">
        <f aca="false">IF(J$5="A",0,MAX(0,J511-I513))</f>
        <v>0</v>
      </c>
      <c r="K512" s="71" t="n">
        <f aca="false">IF(K$5="A",0,MAX(0,K511-J513))</f>
        <v>0</v>
      </c>
      <c r="L512" s="71" t="n">
        <f aca="false">IF(L$5="A",0,MAX(0,L511-K513))</f>
        <v>0</v>
      </c>
      <c r="M512" s="71" t="n">
        <f aca="false">IF(M$5="A",0,MAX(0,M511-L513))</f>
        <v>0</v>
      </c>
      <c r="N512" s="71" t="n">
        <f aca="false">IF(N$5="A",0,MAX(0,N511-M513))</f>
        <v>0</v>
      </c>
      <c r="O512" s="71" t="n">
        <f aca="false">IF(O$5="A",0,MAX(0,O511-N513))</f>
        <v>0</v>
      </c>
      <c r="P512" s="71" t="n">
        <f aca="false">IF(P$5="A",0,MAX(0,P511-O513))</f>
        <v>0</v>
      </c>
      <c r="Q512" s="71" t="n">
        <f aca="false">IF(Q$5="A",0,MAX(0,Q511-P513))</f>
        <v>0</v>
      </c>
      <c r="R512" s="71" t="n">
        <f aca="false">IF(R$5="A",0,MAX(0,R511-Q513))</f>
        <v>35100</v>
      </c>
      <c r="S512" s="71" t="n">
        <f aca="false">IF(S$5="A",0,MAX(0,S511-R513))</f>
        <v>0</v>
      </c>
      <c r="T512" s="71" t="n">
        <f aca="false">IF(T$5="A",0,MAX(0,T511-S513))</f>
        <v>0</v>
      </c>
      <c r="U512" s="71" t="n">
        <f aca="false">IF(U$5="A",0,MAX(0,U511-T513))</f>
        <v>46800</v>
      </c>
      <c r="V512" s="71" t="n">
        <f aca="false">IF(V$5="A",0,MAX(0,V511-U513))</f>
        <v>0</v>
      </c>
      <c r="W512" s="71" t="n">
        <f aca="false">IF(W$5="A",0,MAX(0,W511-V513))</f>
        <v>35100</v>
      </c>
      <c r="X512" s="71" t="n">
        <f aca="false">IF(X$5="A",0,MAX(0,X511-W513))</f>
        <v>0</v>
      </c>
      <c r="Y512" s="71" t="n">
        <f aca="false">IF(Y$5="A",0,MAX(0,Y511-X513))</f>
        <v>0</v>
      </c>
      <c r="Z512" s="71" t="n">
        <f aca="false">IF(Z$5="A",0,MAX(0,Z511-Y513))</f>
        <v>0</v>
      </c>
      <c r="AA512" s="71" t="n">
        <f aca="false">IF(AA$5="A",0,MAX(0,AA511-Z513))</f>
        <v>0</v>
      </c>
      <c r="AB512" s="71" t="n">
        <f aca="false">IF(AB$5="A",0,MAX(0,AB511-AA513))</f>
        <v>0</v>
      </c>
    </row>
    <row r="513" customFormat="false" ht="15" hidden="false" customHeight="false" outlineLevel="0" collapsed="false">
      <c r="A513" s="29" t="s">
        <v>840</v>
      </c>
      <c r="B513" s="60"/>
      <c r="C513" s="61" t="n">
        <f aca="false">P513</f>
        <v>0</v>
      </c>
      <c r="D513" s="61" t="n">
        <f aca="false">AB513</f>
        <v>117000</v>
      </c>
      <c r="E513" s="62" t="n">
        <f aca="false">Engagement_Register!$V$38+E512</f>
        <v>0</v>
      </c>
      <c r="F513" s="71" t="n">
        <f aca="false">E513+F512</f>
        <v>0</v>
      </c>
      <c r="G513" s="71" t="n">
        <f aca="false">F513+G512</f>
        <v>0</v>
      </c>
      <c r="H513" s="71" t="n">
        <f aca="false">G513+H512</f>
        <v>0</v>
      </c>
      <c r="I513" s="71" t="n">
        <f aca="false">H513+I512</f>
        <v>0</v>
      </c>
      <c r="J513" s="71" t="n">
        <f aca="false">I513+J512</f>
        <v>0</v>
      </c>
      <c r="K513" s="71" t="n">
        <f aca="false">J513+K512</f>
        <v>0</v>
      </c>
      <c r="L513" s="71" t="n">
        <f aca="false">K513+L512</f>
        <v>0</v>
      </c>
      <c r="M513" s="71" t="n">
        <f aca="false">L513+M512</f>
        <v>0</v>
      </c>
      <c r="N513" s="71" t="n">
        <f aca="false">M513+N512</f>
        <v>0</v>
      </c>
      <c r="O513" s="71" t="n">
        <f aca="false">N513+O512</f>
        <v>0</v>
      </c>
      <c r="P513" s="71" t="n">
        <f aca="false">O513+P512</f>
        <v>0</v>
      </c>
      <c r="Q513" s="71" t="n">
        <f aca="false">P513+Q512</f>
        <v>0</v>
      </c>
      <c r="R513" s="71" t="n">
        <f aca="false">Q513+R512</f>
        <v>35100</v>
      </c>
      <c r="S513" s="71" t="n">
        <f aca="false">R513+S512</f>
        <v>35100</v>
      </c>
      <c r="T513" s="71" t="n">
        <f aca="false">S513+T512</f>
        <v>35100</v>
      </c>
      <c r="U513" s="71" t="n">
        <f aca="false">T513+U512</f>
        <v>81900</v>
      </c>
      <c r="V513" s="71" t="n">
        <f aca="false">U513+V512</f>
        <v>81900</v>
      </c>
      <c r="W513" s="71" t="n">
        <f aca="false">V513+W512</f>
        <v>117000</v>
      </c>
      <c r="X513" s="71" t="n">
        <f aca="false">W513+X512</f>
        <v>117000</v>
      </c>
      <c r="Y513" s="71" t="n">
        <f aca="false">X513+Y512</f>
        <v>117000</v>
      </c>
      <c r="Z513" s="71" t="n">
        <f aca="false">Y513+Z512</f>
        <v>117000</v>
      </c>
      <c r="AA513" s="71" t="n">
        <f aca="false">Z513+AA512</f>
        <v>117000</v>
      </c>
      <c r="AB513" s="71" t="n">
        <f aca="false">AA513+AB512</f>
        <v>117000</v>
      </c>
    </row>
    <row r="514" customFormat="false" ht="15" hidden="false" customHeight="false" outlineLevel="0" collapsed="false">
      <c r="A514" s="29" t="s">
        <v>841</v>
      </c>
      <c r="B514" s="60" t="s">
        <v>842</v>
      </c>
      <c r="C514" s="61" t="n">
        <f aca="false">SUM(E514:P514)</f>
        <v>0</v>
      </c>
      <c r="D514" s="61" t="n">
        <f aca="false">SUM(Q514:AB514)</f>
        <v>6570.1125</v>
      </c>
      <c r="E514" s="62" t="n">
        <f aca="false">IF(E$5="A",0,E40*Engagement_Register!$N$38*Assumptions!E$195)</f>
        <v>0</v>
      </c>
      <c r="F514" s="62" t="n">
        <f aca="false">IF(F$5="A",0,F40*Engagement_Register!$N$38*Assumptions!F$195)</f>
        <v>0</v>
      </c>
      <c r="G514" s="62" t="n">
        <f aca="false">IF(G$5="A",0,G40*Engagement_Register!$N$38*Assumptions!G$195)</f>
        <v>0</v>
      </c>
      <c r="H514" s="62" t="n">
        <f aca="false">IF(H$5="A",0,H40*Engagement_Register!$N$38*Assumptions!H$195)</f>
        <v>0</v>
      </c>
      <c r="I514" s="62" t="n">
        <f aca="false">IF(I$5="A",0,I40*Engagement_Register!$N$38*Assumptions!I$195)</f>
        <v>0</v>
      </c>
      <c r="J514" s="62" t="n">
        <f aca="false">IF(J$5="A",0,J40*Engagement_Register!$N$38*Assumptions!J$195)</f>
        <v>0</v>
      </c>
      <c r="K514" s="62" t="n">
        <f aca="false">IF(K$5="A",0,K40*Engagement_Register!$N$38*Assumptions!K$195)</f>
        <v>0</v>
      </c>
      <c r="L514" s="62" t="n">
        <f aca="false">IF(L$5="A",0,L40*Engagement_Register!$N$38*Assumptions!L$195)</f>
        <v>0</v>
      </c>
      <c r="M514" s="62" t="n">
        <f aca="false">IF(M$5="A",0,M40*Engagement_Register!$N$38*Assumptions!M$195)</f>
        <v>0</v>
      </c>
      <c r="N514" s="62" t="n">
        <f aca="false">IF(N$5="A",0,N40*Engagement_Register!$N$38*Assumptions!N$195)</f>
        <v>0</v>
      </c>
      <c r="O514" s="62" t="n">
        <f aca="false">IF(O$5="A",0,O40*Engagement_Register!$N$38*Assumptions!O$195)</f>
        <v>0</v>
      </c>
      <c r="P514" s="62" t="n">
        <f aca="false">IF(P$5="A",0,P40*Engagement_Register!$N$38*Assumptions!P$195)</f>
        <v>0</v>
      </c>
      <c r="Q514" s="62" t="n">
        <f aca="false">IF(Q$5="A",0,Q40*Engagement_Register!$N$38*Assumptions!Q$195)</f>
        <v>0</v>
      </c>
      <c r="R514" s="62" t="n">
        <f aca="false">IF(R$5="A",0,R40*Engagement_Register!$N$38*Assumptions!R$195)</f>
        <v>1038.37984913793</v>
      </c>
      <c r="S514" s="62" t="n">
        <f aca="false">IF(S$5="A",0,S40*Engagement_Register!$N$38*Assumptions!S$195)</f>
        <v>1113.89838362069</v>
      </c>
      <c r="T514" s="62" t="n">
        <f aca="false">IF(T$5="A",0,T40*Engagement_Register!$N$38*Assumptions!T$195)</f>
        <v>1164.24407327586</v>
      </c>
      <c r="U514" s="62" t="n">
        <f aca="false">IF(U$5="A",0,U40*Engagement_Register!$N$38*Assumptions!U$195)</f>
        <v>887.342780172414</v>
      </c>
      <c r="V514" s="62" t="n">
        <f aca="false">IF(V$5="A",0,V40*Engagement_Register!$N$38*Assumptions!V$195)</f>
        <v>1202.00334051724</v>
      </c>
      <c r="W514" s="62" t="n">
        <f aca="false">IF(W$5="A",0,W40*Engagement_Register!$N$38*Assumptions!W$195)</f>
        <v>1164.24407327586</v>
      </c>
      <c r="X514" s="62" t="n">
        <f aca="false">IF(X$5="A",0,X40*Engagement_Register!$N$38*Assumptions!X$195)</f>
        <v>0</v>
      </c>
      <c r="Y514" s="62" t="n">
        <f aca="false">IF(Y$5="A",0,Y40*Engagement_Register!$N$38*Assumptions!Y$195)</f>
        <v>0</v>
      </c>
      <c r="Z514" s="62" t="n">
        <f aca="false">IF(Z$5="A",0,Z40*Engagement_Register!$N$38*Assumptions!Z$195)</f>
        <v>0</v>
      </c>
      <c r="AA514" s="62" t="n">
        <f aca="false">IF(AA$5="A",0,AA40*Engagement_Register!$N$38*Assumptions!AA$195)</f>
        <v>0</v>
      </c>
      <c r="AB514" s="62" t="n">
        <f aca="false">IF(AB$5="A",0,AB40*Engagement_Register!$N$38*Assumptions!AB$195)</f>
        <v>0</v>
      </c>
    </row>
    <row r="515" customFormat="false" ht="15" hidden="false" customHeight="false" outlineLevel="0" collapsed="false">
      <c r="A515" s="29" t="s">
        <v>847</v>
      </c>
      <c r="B515" s="60" t="s">
        <v>848</v>
      </c>
      <c r="C515" s="61" t="n">
        <f aca="false">P515</f>
        <v>0</v>
      </c>
      <c r="D515" s="61" t="n">
        <f aca="false">AB515</f>
        <v>0</v>
      </c>
      <c r="E515" s="62" t="n">
        <f aca="false">Engagement_Register!$X$38+E510-E512</f>
        <v>0</v>
      </c>
      <c r="F515" s="71" t="n">
        <f aca="false">E515+F510-F512</f>
        <v>0</v>
      </c>
      <c r="G515" s="71" t="n">
        <f aca="false">F515+G510-G512</f>
        <v>0</v>
      </c>
      <c r="H515" s="71" t="n">
        <f aca="false">G515+H510-H512</f>
        <v>0</v>
      </c>
      <c r="I515" s="71" t="n">
        <f aca="false">H515+I510-I512</f>
        <v>0</v>
      </c>
      <c r="J515" s="71" t="n">
        <f aca="false">I515+J510-J512</f>
        <v>0</v>
      </c>
      <c r="K515" s="71" t="n">
        <f aca="false">J515+K510-K512</f>
        <v>0</v>
      </c>
      <c r="L515" s="71" t="n">
        <f aca="false">K515+L510-L512</f>
        <v>0</v>
      </c>
      <c r="M515" s="71" t="n">
        <f aca="false">L515+M510-M512</f>
        <v>0</v>
      </c>
      <c r="N515" s="71" t="n">
        <f aca="false">M515+N510-N512</f>
        <v>0</v>
      </c>
      <c r="O515" s="71" t="n">
        <f aca="false">N515+O510-O512</f>
        <v>0</v>
      </c>
      <c r="P515" s="71" t="n">
        <f aca="false">O515+P510-P512</f>
        <v>0</v>
      </c>
      <c r="Q515" s="71" t="n">
        <f aca="false">P515+Q510-Q512</f>
        <v>0</v>
      </c>
      <c r="R515" s="71" t="n">
        <f aca="false">Q515+R510-R512</f>
        <v>-16608.6206896552</v>
      </c>
      <c r="S515" s="71" t="n">
        <f aca="false">R515+S510-S512</f>
        <v>3227.58620689655</v>
      </c>
      <c r="T515" s="71" t="n">
        <f aca="false">S515+T510-T512</f>
        <v>23960.3448275862</v>
      </c>
      <c r="U515" s="71" t="n">
        <f aca="false">T515+U510-U512</f>
        <v>-7037.93103448277</v>
      </c>
      <c r="V515" s="71" t="n">
        <f aca="false">U515+V510-V512</f>
        <v>14367.2413793103</v>
      </c>
      <c r="W515" s="71" t="n">
        <f aca="false">V515+W510-W512</f>
        <v>0</v>
      </c>
      <c r="X515" s="71" t="n">
        <f aca="false">W515+X510-X512</f>
        <v>0</v>
      </c>
      <c r="Y515" s="71" t="n">
        <f aca="false">X515+Y510-Y512</f>
        <v>0</v>
      </c>
      <c r="Z515" s="71" t="n">
        <f aca="false">Y515+Z510-Z512</f>
        <v>0</v>
      </c>
      <c r="AA515" s="71" t="n">
        <f aca="false">Z515+AA510-AA512</f>
        <v>0</v>
      </c>
      <c r="AB515" s="71" t="n">
        <f aca="false">AA515+AB510-AB512</f>
        <v>0</v>
      </c>
    </row>
    <row r="516" customFormat="false" ht="15" hidden="false" customHeight="false" outlineLevel="0" collapsed="false">
      <c r="A516" s="29" t="s">
        <v>890</v>
      </c>
      <c r="B516" s="60" t="s">
        <v>850</v>
      </c>
      <c r="C516" s="61" t="n">
        <f aca="false">P516</f>
        <v>117000</v>
      </c>
      <c r="D516" s="61" t="n">
        <f aca="false">AB516</f>
        <v>0</v>
      </c>
      <c r="E516" s="62" t="n">
        <f aca="false">MAX(0,Engagement_Register!$AP$38-E509)</f>
        <v>117000</v>
      </c>
      <c r="F516" s="62" t="n">
        <f aca="false">MAX(0,Engagement_Register!$AP$38-F509)</f>
        <v>117000</v>
      </c>
      <c r="G516" s="62" t="n">
        <f aca="false">MAX(0,Engagement_Register!$AP$38-G509)</f>
        <v>117000</v>
      </c>
      <c r="H516" s="62" t="n">
        <f aca="false">MAX(0,Engagement_Register!$AP$38-H509)</f>
        <v>117000</v>
      </c>
      <c r="I516" s="62" t="n">
        <f aca="false">MAX(0,Engagement_Register!$AP$38-I509)</f>
        <v>117000</v>
      </c>
      <c r="J516" s="62" t="n">
        <f aca="false">MAX(0,Engagement_Register!$AP$38-J509)</f>
        <v>117000</v>
      </c>
      <c r="K516" s="62" t="n">
        <f aca="false">MAX(0,Engagement_Register!$AP$38-K509)</f>
        <v>117000</v>
      </c>
      <c r="L516" s="62" t="n">
        <f aca="false">MAX(0,Engagement_Register!$AP$38-L509)</f>
        <v>117000</v>
      </c>
      <c r="M516" s="62" t="n">
        <f aca="false">MAX(0,Engagement_Register!$AP$38-M509)</f>
        <v>117000</v>
      </c>
      <c r="N516" s="62" t="n">
        <f aca="false">MAX(0,Engagement_Register!$AP$38-N509)</f>
        <v>117000</v>
      </c>
      <c r="O516" s="62" t="n">
        <f aca="false">MAX(0,Engagement_Register!$AP$38-O509)</f>
        <v>117000</v>
      </c>
      <c r="P516" s="62" t="n">
        <f aca="false">MAX(0,Engagement_Register!$AP$38-P509)</f>
        <v>117000</v>
      </c>
      <c r="Q516" s="62" t="n">
        <f aca="false">MAX(0,Engagement_Register!$AP$38-Q509)</f>
        <v>117000</v>
      </c>
      <c r="R516" s="62" t="n">
        <f aca="false">MAX(0,Engagement_Register!$AP$38-R509)</f>
        <v>98508.6206896552</v>
      </c>
      <c r="S516" s="62" t="n">
        <f aca="false">MAX(0,Engagement_Register!$AP$38-S509)</f>
        <v>78672.4137931035</v>
      </c>
      <c r="T516" s="62" t="n">
        <f aca="false">MAX(0,Engagement_Register!$AP$38-T509)</f>
        <v>57939.6551724138</v>
      </c>
      <c r="U516" s="62" t="n">
        <f aca="false">MAX(0,Engagement_Register!$AP$38-U509)</f>
        <v>42137.9310344828</v>
      </c>
      <c r="V516" s="62" t="n">
        <f aca="false">MAX(0,Engagement_Register!$AP$38-V509)</f>
        <v>20732.7586206897</v>
      </c>
      <c r="W516" s="62" t="n">
        <f aca="false">MAX(0,Engagement_Register!$AP$38-W509)</f>
        <v>0</v>
      </c>
      <c r="X516" s="62" t="n">
        <f aca="false">MAX(0,Engagement_Register!$AP$38-X509)</f>
        <v>0</v>
      </c>
      <c r="Y516" s="62" t="n">
        <f aca="false">MAX(0,Engagement_Register!$AP$38-Y509)</f>
        <v>0</v>
      </c>
      <c r="Z516" s="62" t="n">
        <f aca="false">MAX(0,Engagement_Register!$AP$38-Z509)</f>
        <v>0</v>
      </c>
      <c r="AA516" s="62" t="n">
        <f aca="false">MAX(0,Engagement_Register!$AP$38-AA509)</f>
        <v>0</v>
      </c>
      <c r="AB516" s="62" t="n">
        <f aca="false">MAX(0,Engagement_Register!$AP$38-AB509)</f>
        <v>0</v>
      </c>
    </row>
    <row r="518" customFormat="false" ht="15" hidden="false" customHeight="false" outlineLevel="0" collapsed="false">
      <c r="A518" s="23" t="s">
        <v>899</v>
      </c>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row>
    <row r="519" customFormat="false" ht="15" hidden="false" customHeight="false" outlineLevel="0" collapsed="false">
      <c r="A519" s="29" t="s">
        <v>736</v>
      </c>
      <c r="B519" s="60" t="s">
        <v>832</v>
      </c>
      <c r="C519" s="66" t="n">
        <f aca="false">P519</f>
        <v>0</v>
      </c>
      <c r="D519" s="66" t="n">
        <f aca="false">AB519</f>
        <v>840</v>
      </c>
      <c r="E519" s="67" t="n">
        <f aca="false">Engagement_Register!$T$39+E41</f>
        <v>0</v>
      </c>
      <c r="F519" s="72" t="n">
        <f aca="false">E519+F41</f>
        <v>0</v>
      </c>
      <c r="G519" s="72" t="n">
        <f aca="false">F519+G41</f>
        <v>0</v>
      </c>
      <c r="H519" s="72" t="n">
        <f aca="false">G519+H41</f>
        <v>0</v>
      </c>
      <c r="I519" s="72" t="n">
        <f aca="false">H519+I41</f>
        <v>0</v>
      </c>
      <c r="J519" s="72" t="n">
        <f aca="false">I519+J41</f>
        <v>0</v>
      </c>
      <c r="K519" s="72" t="n">
        <f aca="false">J519+K41</f>
        <v>0</v>
      </c>
      <c r="L519" s="72" t="n">
        <f aca="false">K519+L41</f>
        <v>0</v>
      </c>
      <c r="M519" s="72" t="n">
        <f aca="false">L519+M41</f>
        <v>0</v>
      </c>
      <c r="N519" s="72" t="n">
        <f aca="false">M519+N41</f>
        <v>0</v>
      </c>
      <c r="O519" s="72" t="n">
        <f aca="false">N519+O41</f>
        <v>0</v>
      </c>
      <c r="P519" s="72" t="n">
        <f aca="false">O519+P41</f>
        <v>0</v>
      </c>
      <c r="Q519" s="72" t="n">
        <f aca="false">P519+Q41</f>
        <v>0</v>
      </c>
      <c r="R519" s="72" t="n">
        <f aca="false">Q519+R41</f>
        <v>0</v>
      </c>
      <c r="S519" s="72" t="n">
        <f aca="false">R519+S41</f>
        <v>105.74679943101</v>
      </c>
      <c r="T519" s="72" t="n">
        <f aca="false">S519+T41</f>
        <v>216.273115220484</v>
      </c>
      <c r="U519" s="72" t="n">
        <f aca="false">T519+U41</f>
        <v>300.512091038407</v>
      </c>
      <c r="V519" s="72" t="n">
        <f aca="false">U519+V41</f>
        <v>414.623044096728</v>
      </c>
      <c r="W519" s="72" t="n">
        <f aca="false">V519+W41</f>
        <v>525.149359886202</v>
      </c>
      <c r="X519" s="72" t="n">
        <f aca="false">W519+X41</f>
        <v>621.934566145093</v>
      </c>
      <c r="Y519" s="72" t="n">
        <f aca="false">X519+Y41</f>
        <v>736.045519203414</v>
      </c>
      <c r="Z519" s="72" t="n">
        <f aca="false">Y519+Z41</f>
        <v>840</v>
      </c>
      <c r="AA519" s="72" t="n">
        <f aca="false">Z519+AA41</f>
        <v>840</v>
      </c>
      <c r="AB519" s="72" t="n">
        <f aca="false">AA519+AB41</f>
        <v>840</v>
      </c>
    </row>
    <row r="520" customFormat="false" ht="15" hidden="false" customHeight="false" outlineLevel="0" collapsed="false">
      <c r="A520" s="29" t="s">
        <v>852</v>
      </c>
      <c r="B520" s="60" t="s">
        <v>853</v>
      </c>
      <c r="C520" s="66" t="n">
        <f aca="false">P520</f>
        <v>840</v>
      </c>
      <c r="D520" s="66" t="n">
        <f aca="false">AB520</f>
        <v>840</v>
      </c>
      <c r="E520" s="67" t="n">
        <f aca="false">IF(E$5="A",Engagement_Register!$AM$39,Engagement_Register!$AM$39)</f>
        <v>840</v>
      </c>
      <c r="F520" s="67" t="n">
        <f aca="false">IF(F$5="A",Engagement_Register!$AM$39,Engagement_Register!$AM$39)</f>
        <v>840</v>
      </c>
      <c r="G520" s="67" t="n">
        <f aca="false">IF(G$5="A",Engagement_Register!$AM$39,Engagement_Register!$AM$39)</f>
        <v>840</v>
      </c>
      <c r="H520" s="67" t="n">
        <f aca="false">IF(H$5="A",Engagement_Register!$AM$39,Engagement_Register!$AM$39)</f>
        <v>840</v>
      </c>
      <c r="I520" s="67" t="n">
        <f aca="false">IF(I$5="A",Engagement_Register!$AM$39,Engagement_Register!$AM$39)</f>
        <v>840</v>
      </c>
      <c r="J520" s="67" t="n">
        <f aca="false">IF(J$5="A",Engagement_Register!$AM$39,Engagement_Register!$AM$39)</f>
        <v>840</v>
      </c>
      <c r="K520" s="67" t="n">
        <f aca="false">IF(K$5="A",Engagement_Register!$AM$39,Engagement_Register!$AM$39)</f>
        <v>840</v>
      </c>
      <c r="L520" s="67" t="n">
        <f aca="false">IF(L$5="A",Engagement_Register!$AM$39,Engagement_Register!$AM$39)</f>
        <v>840</v>
      </c>
      <c r="M520" s="67" t="n">
        <f aca="false">IF(M$5="A",Engagement_Register!$AM$39,Engagement_Register!$AM$39)</f>
        <v>840</v>
      </c>
      <c r="N520" s="67" t="n">
        <f aca="false">IF(N$5="A",Engagement_Register!$AM$39,Engagement_Register!$AM$39)</f>
        <v>840</v>
      </c>
      <c r="O520" s="67" t="n">
        <f aca="false">IF(O$5="A",Engagement_Register!$AM$39,Engagement_Register!$AM$39)</f>
        <v>840</v>
      </c>
      <c r="P520" s="67" t="n">
        <f aca="false">IF(P$5="A",Engagement_Register!$AM$39,Engagement_Register!$AM$39)</f>
        <v>840</v>
      </c>
      <c r="Q520" s="67" t="n">
        <f aca="false">IF(Q$5="A",Engagement_Register!$AM$39,Engagement_Register!$AM$39)</f>
        <v>840</v>
      </c>
      <c r="R520" s="67" t="n">
        <f aca="false">IF(R$5="A",Engagement_Register!$AM$39,Engagement_Register!$AM$39)</f>
        <v>840</v>
      </c>
      <c r="S520" s="67" t="n">
        <f aca="false">IF(S$5="A",Engagement_Register!$AM$39,Engagement_Register!$AM$39)</f>
        <v>840</v>
      </c>
      <c r="T520" s="67" t="n">
        <f aca="false">IF(T$5="A",Engagement_Register!$AM$39,Engagement_Register!$AM$39)</f>
        <v>840</v>
      </c>
      <c r="U520" s="67" t="n">
        <f aca="false">IF(U$5="A",Engagement_Register!$AM$39,Engagement_Register!$AM$39)</f>
        <v>840</v>
      </c>
      <c r="V520" s="67" t="n">
        <f aca="false">IF(V$5="A",Engagement_Register!$AM$39,Engagement_Register!$AM$39)</f>
        <v>840</v>
      </c>
      <c r="W520" s="67" t="n">
        <f aca="false">IF(W$5="A",Engagement_Register!$AM$39,Engagement_Register!$AM$39)</f>
        <v>840</v>
      </c>
      <c r="X520" s="67" t="n">
        <f aca="false">IF(X$5="A",Engagement_Register!$AM$39,Engagement_Register!$AM$39)</f>
        <v>840</v>
      </c>
      <c r="Y520" s="67" t="n">
        <f aca="false">IF(Y$5="A",Engagement_Register!$AM$39,Engagement_Register!$AM$39)</f>
        <v>840</v>
      </c>
      <c r="Z520" s="67" t="n">
        <f aca="false">IF(Z$5="A",Engagement_Register!$AM$39,Engagement_Register!$AM$39)</f>
        <v>840</v>
      </c>
      <c r="AA520" s="67" t="n">
        <f aca="false">IF(AA$5="A",Engagement_Register!$AM$39,Engagement_Register!$AM$39)</f>
        <v>840</v>
      </c>
      <c r="AB520" s="67" t="n">
        <f aca="false">IF(AB$5="A",Engagement_Register!$AM$39,Engagement_Register!$AM$39)</f>
        <v>840</v>
      </c>
    </row>
    <row r="521" customFormat="false" ht="15" hidden="false" customHeight="false" outlineLevel="0" collapsed="false">
      <c r="A521" s="29" t="s">
        <v>854</v>
      </c>
      <c r="B521" s="60" t="s">
        <v>855</v>
      </c>
      <c r="C521" s="63" t="n">
        <f aca="false">P521</f>
        <v>0</v>
      </c>
      <c r="D521" s="63" t="n">
        <f aca="false">AB521</f>
        <v>1</v>
      </c>
      <c r="E521" s="64" t="n">
        <f aca="false">IF(E520&lt;=0,0,MIN(1,E519/E520))</f>
        <v>0</v>
      </c>
      <c r="F521" s="64" t="n">
        <f aca="false">IF(F520&lt;=0,0,MIN(1,F519/F520))</f>
        <v>0</v>
      </c>
      <c r="G521" s="64" t="n">
        <f aca="false">IF(G520&lt;=0,0,MIN(1,G519/G520))</f>
        <v>0</v>
      </c>
      <c r="H521" s="64" t="n">
        <f aca="false">IF(H520&lt;=0,0,MIN(1,H519/H520))</f>
        <v>0</v>
      </c>
      <c r="I521" s="64" t="n">
        <f aca="false">IF(I520&lt;=0,0,MIN(1,I519/I520))</f>
        <v>0</v>
      </c>
      <c r="J521" s="64" t="n">
        <f aca="false">IF(J520&lt;=0,0,MIN(1,J519/J520))</f>
        <v>0</v>
      </c>
      <c r="K521" s="64" t="n">
        <f aca="false">IF(K520&lt;=0,0,MIN(1,K519/K520))</f>
        <v>0</v>
      </c>
      <c r="L521" s="64" t="n">
        <f aca="false">IF(L520&lt;=0,0,MIN(1,L519/L520))</f>
        <v>0</v>
      </c>
      <c r="M521" s="64" t="n">
        <f aca="false">IF(M520&lt;=0,0,MIN(1,M519/M520))</f>
        <v>0</v>
      </c>
      <c r="N521" s="64" t="n">
        <f aca="false">IF(N520&lt;=0,0,MIN(1,N519/N520))</f>
        <v>0</v>
      </c>
      <c r="O521" s="64" t="n">
        <f aca="false">IF(O520&lt;=0,0,MIN(1,O519/O520))</f>
        <v>0</v>
      </c>
      <c r="P521" s="64" t="n">
        <f aca="false">IF(P520&lt;=0,0,MIN(1,P519/P520))</f>
        <v>0</v>
      </c>
      <c r="Q521" s="64" t="n">
        <f aca="false">IF(Q520&lt;=0,0,MIN(1,Q519/Q520))</f>
        <v>0</v>
      </c>
      <c r="R521" s="64" t="n">
        <f aca="false">IF(R520&lt;=0,0,MIN(1,R519/R520))</f>
        <v>0</v>
      </c>
      <c r="S521" s="64" t="n">
        <f aca="false">IF(S520&lt;=0,0,MIN(1,S519/S520))</f>
        <v>0.125889046941679</v>
      </c>
      <c r="T521" s="64" t="n">
        <f aca="false">IF(T520&lt;=0,0,MIN(1,T519/T520))</f>
        <v>0.2574679943101</v>
      </c>
      <c r="U521" s="64" t="n">
        <f aca="false">IF(U520&lt;=0,0,MIN(1,U519/U520))</f>
        <v>0.357752489331437</v>
      </c>
      <c r="V521" s="64" t="n">
        <f aca="false">IF(V520&lt;=0,0,MIN(1,V519/V520))</f>
        <v>0.493598862019915</v>
      </c>
      <c r="W521" s="64" t="n">
        <f aca="false">IF(W520&lt;=0,0,MIN(1,W519/W520))</f>
        <v>0.625177809388336</v>
      </c>
      <c r="X521" s="64" t="n">
        <f aca="false">IF(X520&lt;=0,0,MIN(1,X519/X520))</f>
        <v>0.740398293029872</v>
      </c>
      <c r="Y521" s="64" t="n">
        <f aca="false">IF(Y520&lt;=0,0,MIN(1,Y519/Y520))</f>
        <v>0.87624466571835</v>
      </c>
      <c r="Z521" s="64" t="n">
        <f aca="false">IF(Z520&lt;=0,0,MIN(1,Z519/Z520))</f>
        <v>1</v>
      </c>
      <c r="AA521" s="64" t="n">
        <f aca="false">IF(AA520&lt;=0,0,MIN(1,AA519/AA520))</f>
        <v>1</v>
      </c>
      <c r="AB521" s="64" t="n">
        <f aca="false">IF(AB520&lt;=0,0,MIN(1,AB519/AB520))</f>
        <v>1</v>
      </c>
    </row>
    <row r="522" customFormat="false" ht="15" hidden="false" customHeight="false" outlineLevel="0" collapsed="false">
      <c r="A522" s="29" t="s">
        <v>833</v>
      </c>
      <c r="B522" s="60" t="s">
        <v>834</v>
      </c>
      <c r="C522" s="61" t="n">
        <f aca="false">SUM(E522:P522)</f>
        <v>0</v>
      </c>
      <c r="D522" s="61" t="n">
        <f aca="false">SUM(Q522:AB522)</f>
        <v>171837.12</v>
      </c>
      <c r="E522" s="62" t="n">
        <f aca="false">E41*Engagement_Register!$AD$39*Assumptions!E$194</f>
        <v>0</v>
      </c>
      <c r="F522" s="62" t="n">
        <f aca="false">F41*Engagement_Register!$AD$39*Assumptions!F$194</f>
        <v>0</v>
      </c>
      <c r="G522" s="62" t="n">
        <f aca="false">G41*Engagement_Register!$AD$39*Assumptions!G$194</f>
        <v>0</v>
      </c>
      <c r="H522" s="62" t="n">
        <f aca="false">H41*Engagement_Register!$AD$39*Assumptions!H$194</f>
        <v>0</v>
      </c>
      <c r="I522" s="62" t="n">
        <f aca="false">I41*Engagement_Register!$AD$39*Assumptions!I$194</f>
        <v>0</v>
      </c>
      <c r="J522" s="62" t="n">
        <f aca="false">J41*Engagement_Register!$AD$39*Assumptions!J$194</f>
        <v>0</v>
      </c>
      <c r="K522" s="62" t="n">
        <f aca="false">K41*Engagement_Register!$AD$39*Assumptions!K$194</f>
        <v>0</v>
      </c>
      <c r="L522" s="62" t="n">
        <f aca="false">L41*Engagement_Register!$AD$39*Assumptions!L$194</f>
        <v>0</v>
      </c>
      <c r="M522" s="62" t="n">
        <f aca="false">M41*Engagement_Register!$AD$39*Assumptions!M$194</f>
        <v>0</v>
      </c>
      <c r="N522" s="62" t="n">
        <f aca="false">N41*Engagement_Register!$AD$39*Assumptions!N$194</f>
        <v>0</v>
      </c>
      <c r="O522" s="62" t="n">
        <f aca="false">O41*Engagement_Register!$AD$39*Assumptions!O$194</f>
        <v>0</v>
      </c>
      <c r="P522" s="62" t="n">
        <f aca="false">P41*Engagement_Register!$AD$39*Assumptions!P$194</f>
        <v>0</v>
      </c>
      <c r="Q522" s="62" t="n">
        <f aca="false">Q41*Engagement_Register!$AD$39*Assumptions!Q$194</f>
        <v>0</v>
      </c>
      <c r="R522" s="62" t="n">
        <f aca="false">R41*Engagement_Register!$AD$39*Assumptions!R$194</f>
        <v>0</v>
      </c>
      <c r="S522" s="62" t="n">
        <f aca="false">S41*Engagement_Register!$AD$39*Assumptions!S$194</f>
        <v>21632.4112660028</v>
      </c>
      <c r="T522" s="62" t="n">
        <f aca="false">T41*Engagement_Register!$AD$39*Assumptions!T$194</f>
        <v>22610.1473684211</v>
      </c>
      <c r="U522" s="62" t="n">
        <f aca="false">U41*Engagement_Register!$AD$39*Assumptions!U$194</f>
        <v>17232.5988051209</v>
      </c>
      <c r="V522" s="62" t="n">
        <f aca="false">V41*Engagement_Register!$AD$39*Assumptions!V$194</f>
        <v>23343.4494452347</v>
      </c>
      <c r="W522" s="62" t="n">
        <f aca="false">W41*Engagement_Register!$AD$39*Assumptions!W$194</f>
        <v>22610.1473684211</v>
      </c>
      <c r="X522" s="62" t="n">
        <f aca="false">X41*Engagement_Register!$AD$39*Assumptions!X$194</f>
        <v>19799.1560739687</v>
      </c>
      <c r="Y522" s="62" t="n">
        <f aca="false">Y41*Engagement_Register!$AD$39*Assumptions!Y$194</f>
        <v>23343.4494452347</v>
      </c>
      <c r="Z522" s="62" t="n">
        <f aca="false">Z41*Engagement_Register!$AD$39*Assumptions!Z$194</f>
        <v>21265.760227596</v>
      </c>
      <c r="AA522" s="62" t="n">
        <f aca="false">AA41*Engagement_Register!$AD$39*Assumptions!AA$194</f>
        <v>0</v>
      </c>
      <c r="AB522" s="62" t="n">
        <f aca="false">AB41*Engagement_Register!$AD$39*Assumptions!AB$194</f>
        <v>0</v>
      </c>
    </row>
    <row r="523" customFormat="false" ht="15" hidden="false" customHeight="false" outlineLevel="0" collapsed="false">
      <c r="A523" s="29" t="s">
        <v>835</v>
      </c>
      <c r="B523" s="60" t="s">
        <v>836</v>
      </c>
      <c r="C523" s="61" t="n">
        <f aca="false">SUM(E523:P523)</f>
        <v>0</v>
      </c>
      <c r="D523" s="61" t="n">
        <f aca="false">SUM(Q523:AB523)</f>
        <v>161526.8928</v>
      </c>
      <c r="E523" s="62" t="n">
        <f aca="false">E41*Engagement_Register!$AE$39*Assumptions!E$194</f>
        <v>0</v>
      </c>
      <c r="F523" s="62" t="n">
        <f aca="false">F41*Engagement_Register!$AE$39*Assumptions!F$194</f>
        <v>0</v>
      </c>
      <c r="G523" s="62" t="n">
        <f aca="false">G41*Engagement_Register!$AE$39*Assumptions!G$194</f>
        <v>0</v>
      </c>
      <c r="H523" s="62" t="n">
        <f aca="false">H41*Engagement_Register!$AE$39*Assumptions!H$194</f>
        <v>0</v>
      </c>
      <c r="I523" s="62" t="n">
        <f aca="false">I41*Engagement_Register!$AE$39*Assumptions!I$194</f>
        <v>0</v>
      </c>
      <c r="J523" s="62" t="n">
        <f aca="false">J41*Engagement_Register!$AE$39*Assumptions!J$194</f>
        <v>0</v>
      </c>
      <c r="K523" s="62" t="n">
        <f aca="false">K41*Engagement_Register!$AE$39*Assumptions!K$194</f>
        <v>0</v>
      </c>
      <c r="L523" s="62" t="n">
        <f aca="false">L41*Engagement_Register!$AE$39*Assumptions!L$194</f>
        <v>0</v>
      </c>
      <c r="M523" s="62" t="n">
        <f aca="false">M41*Engagement_Register!$AE$39*Assumptions!M$194</f>
        <v>0</v>
      </c>
      <c r="N523" s="62" t="n">
        <f aca="false">N41*Engagement_Register!$AE$39*Assumptions!N$194</f>
        <v>0</v>
      </c>
      <c r="O523" s="62" t="n">
        <f aca="false">O41*Engagement_Register!$AE$39*Assumptions!O$194</f>
        <v>0</v>
      </c>
      <c r="P523" s="62" t="n">
        <f aca="false">P41*Engagement_Register!$AE$39*Assumptions!P$194</f>
        <v>0</v>
      </c>
      <c r="Q523" s="62" t="n">
        <f aca="false">Q41*Engagement_Register!$AE$39*Assumptions!Q$194</f>
        <v>0</v>
      </c>
      <c r="R523" s="62" t="n">
        <f aca="false">R41*Engagement_Register!$AE$39*Assumptions!R$194</f>
        <v>0</v>
      </c>
      <c r="S523" s="62" t="n">
        <f aca="false">S41*Engagement_Register!$AE$39*Assumptions!S$194</f>
        <v>20334.4665900427</v>
      </c>
      <c r="T523" s="62" t="n">
        <f aca="false">T41*Engagement_Register!$AE$39*Assumptions!T$194</f>
        <v>21253.5385263158</v>
      </c>
      <c r="U523" s="62" t="n">
        <f aca="false">U41*Engagement_Register!$AE$39*Assumptions!U$194</f>
        <v>16198.6428768137</v>
      </c>
      <c r="V523" s="62" t="n">
        <f aca="false">V41*Engagement_Register!$AE$39*Assumptions!V$194</f>
        <v>21942.8424785206</v>
      </c>
      <c r="W523" s="62" t="n">
        <f aca="false">W41*Engagement_Register!$AE$39*Assumptions!W$194</f>
        <v>21253.5385263158</v>
      </c>
      <c r="X523" s="62" t="n">
        <f aca="false">X41*Engagement_Register!$AE$39*Assumptions!X$194</f>
        <v>18611.2067095306</v>
      </c>
      <c r="Y523" s="62" t="n">
        <f aca="false">Y41*Engagement_Register!$AE$39*Assumptions!Y$194</f>
        <v>21942.8424785206</v>
      </c>
      <c r="Z523" s="62" t="n">
        <f aca="false">Z41*Engagement_Register!$AE$39*Assumptions!Z$194</f>
        <v>19989.8146139403</v>
      </c>
      <c r="AA523" s="62" t="n">
        <f aca="false">AA41*Engagement_Register!$AE$39*Assumptions!AA$194</f>
        <v>0</v>
      </c>
      <c r="AB523" s="62" t="n">
        <f aca="false">AB41*Engagement_Register!$AE$39*Assumptions!AB$194</f>
        <v>0</v>
      </c>
    </row>
    <row r="524" customFormat="false" ht="15" hidden="false" customHeight="false" outlineLevel="0" collapsed="false">
      <c r="A524" s="29" t="s">
        <v>856</v>
      </c>
      <c r="B524" s="60" t="s">
        <v>857</v>
      </c>
      <c r="C524" s="61" t="n">
        <f aca="false">P524</f>
        <v>0</v>
      </c>
      <c r="D524" s="61" t="n">
        <f aca="false">AB524</f>
        <v>161526.8928</v>
      </c>
      <c r="E524" s="62" t="n">
        <f aca="false">Engagement_Register!$W$39+E523</f>
        <v>0</v>
      </c>
      <c r="F524" s="71" t="n">
        <f aca="false">E524+F523</f>
        <v>0</v>
      </c>
      <c r="G524" s="71" t="n">
        <f aca="false">F524+G523</f>
        <v>0</v>
      </c>
      <c r="H524" s="71" t="n">
        <f aca="false">G524+H523</f>
        <v>0</v>
      </c>
      <c r="I524" s="71" t="n">
        <f aca="false">H524+I523</f>
        <v>0</v>
      </c>
      <c r="J524" s="71" t="n">
        <f aca="false">I524+J523</f>
        <v>0</v>
      </c>
      <c r="K524" s="71" t="n">
        <f aca="false">J524+K523</f>
        <v>0</v>
      </c>
      <c r="L524" s="71" t="n">
        <f aca="false">K524+L523</f>
        <v>0</v>
      </c>
      <c r="M524" s="71" t="n">
        <f aca="false">L524+M523</f>
        <v>0</v>
      </c>
      <c r="N524" s="71" t="n">
        <f aca="false">M524+N523</f>
        <v>0</v>
      </c>
      <c r="O524" s="71" t="n">
        <f aca="false">N524+O523</f>
        <v>0</v>
      </c>
      <c r="P524" s="71" t="n">
        <f aca="false">O524+P523</f>
        <v>0</v>
      </c>
      <c r="Q524" s="71" t="n">
        <f aca="false">P524+Q523</f>
        <v>0</v>
      </c>
      <c r="R524" s="71" t="n">
        <f aca="false">Q524+R523</f>
        <v>0</v>
      </c>
      <c r="S524" s="71" t="n">
        <f aca="false">R524+S523</f>
        <v>20334.4665900427</v>
      </c>
      <c r="T524" s="71" t="n">
        <f aca="false">S524+T523</f>
        <v>41588.0051163585</v>
      </c>
      <c r="U524" s="71" t="n">
        <f aca="false">T524+U523</f>
        <v>57786.6479931721</v>
      </c>
      <c r="V524" s="71" t="n">
        <f aca="false">U524+V523</f>
        <v>79729.4904716927</v>
      </c>
      <c r="W524" s="71" t="n">
        <f aca="false">V524+W523</f>
        <v>100983.028998009</v>
      </c>
      <c r="X524" s="71" t="n">
        <f aca="false">W524+X523</f>
        <v>119594.235707539</v>
      </c>
      <c r="Y524" s="71" t="n">
        <f aca="false">X524+Y523</f>
        <v>141537.07818606</v>
      </c>
      <c r="Z524" s="71" t="n">
        <f aca="false">Y524+Z523</f>
        <v>161526.8928</v>
      </c>
      <c r="AA524" s="71" t="n">
        <f aca="false">Z524+AA523</f>
        <v>161526.8928</v>
      </c>
      <c r="AB524" s="71" t="n">
        <f aca="false">AA524+AB523</f>
        <v>161526.8928</v>
      </c>
    </row>
    <row r="525" customFormat="false" ht="15" hidden="false" customHeight="false" outlineLevel="0" collapsed="false">
      <c r="A525" s="29" t="s">
        <v>742</v>
      </c>
      <c r="B525" s="60" t="s">
        <v>858</v>
      </c>
      <c r="C525" s="61" t="n">
        <f aca="false">P525</f>
        <v>0</v>
      </c>
      <c r="D525" s="61" t="n">
        <f aca="false">AB525</f>
        <v>152000</v>
      </c>
      <c r="E525" s="62" t="n">
        <f aca="false">IF(E$5="A",Engagement_Register!$U$39+0,IF(Engagement_Register!$AQ$39&gt;Engagement_Register!$AP$39,Engagement_Register!$AP$39*E521,E524))</f>
        <v>0</v>
      </c>
      <c r="F525" s="62" t="n">
        <f aca="false">IF(F$5="A",E525+0,IF(Engagement_Register!$AQ$39&gt;Engagement_Register!$AP$39,Engagement_Register!$AP$39*F521,F524))</f>
        <v>0</v>
      </c>
      <c r="G525" s="62" t="n">
        <f aca="false">IF(G$5="A",F525+0,IF(Engagement_Register!$AQ$39&gt;Engagement_Register!$AP$39,Engagement_Register!$AP$39*G521,G524))</f>
        <v>0</v>
      </c>
      <c r="H525" s="62" t="n">
        <f aca="false">IF(H$5="A",G525+0,IF(Engagement_Register!$AQ$39&gt;Engagement_Register!$AP$39,Engagement_Register!$AP$39*H521,H524))</f>
        <v>0</v>
      </c>
      <c r="I525" s="62" t="n">
        <f aca="false">IF(I$5="A",H525+0,IF(Engagement_Register!$AQ$39&gt;Engagement_Register!$AP$39,Engagement_Register!$AP$39*I521,I524))</f>
        <v>0</v>
      </c>
      <c r="J525" s="62" t="n">
        <f aca="false">IF(J$5="A",I525+0,IF(Engagement_Register!$AQ$39&gt;Engagement_Register!$AP$39,Engagement_Register!$AP$39*J521,J524))</f>
        <v>0</v>
      </c>
      <c r="K525" s="62" t="n">
        <f aca="false">IF(K$5="A",J525+0,IF(Engagement_Register!$AQ$39&gt;Engagement_Register!$AP$39,Engagement_Register!$AP$39*K521,K524))</f>
        <v>0</v>
      </c>
      <c r="L525" s="62" t="n">
        <f aca="false">IF(L$5="A",K525+0,IF(Engagement_Register!$AQ$39&gt;Engagement_Register!$AP$39,Engagement_Register!$AP$39*L521,L524))</f>
        <v>0</v>
      </c>
      <c r="M525" s="62" t="n">
        <f aca="false">IF(M$5="A",L525+0,IF(Engagement_Register!$AQ$39&gt;Engagement_Register!$AP$39,Engagement_Register!$AP$39*M521,M524))</f>
        <v>0</v>
      </c>
      <c r="N525" s="62" t="n">
        <f aca="false">IF(N$5="A",M525+0,IF(Engagement_Register!$AQ$39&gt;Engagement_Register!$AP$39,Engagement_Register!$AP$39*N521,N524))</f>
        <v>0</v>
      </c>
      <c r="O525" s="62" t="n">
        <f aca="false">IF(O$5="A",N525+0,IF(Engagement_Register!$AQ$39&gt;Engagement_Register!$AP$39,Engagement_Register!$AP$39*O521,O524))</f>
        <v>0</v>
      </c>
      <c r="P525" s="62" t="n">
        <f aca="false">IF(P$5="A",O525+0,IF(Engagement_Register!$AQ$39&gt;Engagement_Register!$AP$39,Engagement_Register!$AP$39*P521,P524))</f>
        <v>0</v>
      </c>
      <c r="Q525" s="62" t="n">
        <f aca="false">IF(Q$5="A",P525+0,IF(Engagement_Register!$AQ$39&gt;Engagement_Register!$AP$39,Engagement_Register!$AP$39*Q521,Q524))</f>
        <v>0</v>
      </c>
      <c r="R525" s="62" t="n">
        <f aca="false">IF(R$5="A",Q525+0,IF(Engagement_Register!$AQ$39&gt;Engagement_Register!$AP$39,Engagement_Register!$AP$39*R521,R524))</f>
        <v>0</v>
      </c>
      <c r="S525" s="62" t="n">
        <f aca="false">IF(S$5="A",R525+0,IF(Engagement_Register!$AQ$39&gt;Engagement_Register!$AP$39,Engagement_Register!$AP$39*S521,S524))</f>
        <v>19135.1351351351</v>
      </c>
      <c r="T525" s="62" t="n">
        <f aca="false">IF(T$5="A",S525+0,IF(Engagement_Register!$AQ$39&gt;Engagement_Register!$AP$39,Engagement_Register!$AP$39*T521,T524))</f>
        <v>39135.1351351351</v>
      </c>
      <c r="U525" s="62" t="n">
        <f aca="false">IF(U$5="A",T525+0,IF(Engagement_Register!$AQ$39&gt;Engagement_Register!$AP$39,Engagement_Register!$AP$39*U521,U524))</f>
        <v>54378.3783783784</v>
      </c>
      <c r="V525" s="62" t="n">
        <f aca="false">IF(V$5="A",U525+0,IF(Engagement_Register!$AQ$39&gt;Engagement_Register!$AP$39,Engagement_Register!$AP$39*V521,V524))</f>
        <v>75027.027027027</v>
      </c>
      <c r="W525" s="62" t="n">
        <f aca="false">IF(W$5="A",V525+0,IF(Engagement_Register!$AQ$39&gt;Engagement_Register!$AP$39,Engagement_Register!$AP$39*W521,W524))</f>
        <v>95027.027027027</v>
      </c>
      <c r="X525" s="62" t="n">
        <f aca="false">IF(X$5="A",W525+0,IF(Engagement_Register!$AQ$39&gt;Engagement_Register!$AP$39,Engagement_Register!$AP$39*X521,X524))</f>
        <v>112540.540540541</v>
      </c>
      <c r="Y525" s="62" t="n">
        <f aca="false">IF(Y$5="A",X525+0,IF(Engagement_Register!$AQ$39&gt;Engagement_Register!$AP$39,Engagement_Register!$AP$39*Y521,Y524))</f>
        <v>133189.189189189</v>
      </c>
      <c r="Z525" s="62" t="n">
        <f aca="false">IF(Z$5="A",Y525+0,IF(Engagement_Register!$AQ$39&gt;Engagement_Register!$AP$39,Engagement_Register!$AP$39*Z521,Z524))</f>
        <v>152000</v>
      </c>
      <c r="AA525" s="62" t="n">
        <f aca="false">IF(AA$5="A",Z525+0,IF(Engagement_Register!$AQ$39&gt;Engagement_Register!$AP$39,Engagement_Register!$AP$39*AA521,AA524))</f>
        <v>152000</v>
      </c>
      <c r="AB525" s="62" t="n">
        <f aca="false">IF(AB$5="A",AA525+0,IF(Engagement_Register!$AQ$39&gt;Engagement_Register!$AP$39,Engagement_Register!$AP$39*AB521,AB524))</f>
        <v>152000</v>
      </c>
    </row>
    <row r="526" customFormat="false" ht="15" hidden="false" customHeight="false" outlineLevel="0" collapsed="false">
      <c r="A526" s="68" t="s">
        <v>349</v>
      </c>
      <c r="B526" s="69" t="s">
        <v>859</v>
      </c>
      <c r="C526" s="70" t="n">
        <f aca="false">SUM(E526:P526)</f>
        <v>0</v>
      </c>
      <c r="D526" s="70" t="n">
        <f aca="false">SUM(Q526:AB526)</f>
        <v>152000</v>
      </c>
      <c r="E526" s="74" t="n">
        <f aca="false">E525-Engagement_Register!$U$39</f>
        <v>0</v>
      </c>
      <c r="F526" s="70" t="n">
        <f aca="false">F525-E525</f>
        <v>0</v>
      </c>
      <c r="G526" s="70" t="n">
        <f aca="false">G525-F525</f>
        <v>0</v>
      </c>
      <c r="H526" s="70" t="n">
        <f aca="false">H525-G525</f>
        <v>0</v>
      </c>
      <c r="I526" s="70" t="n">
        <f aca="false">I525-H525</f>
        <v>0</v>
      </c>
      <c r="J526" s="70" t="n">
        <f aca="false">J525-I525</f>
        <v>0</v>
      </c>
      <c r="K526" s="70" t="n">
        <f aca="false">K525-J525</f>
        <v>0</v>
      </c>
      <c r="L526" s="70" t="n">
        <f aca="false">L525-K525</f>
        <v>0</v>
      </c>
      <c r="M526" s="70" t="n">
        <f aca="false">M525-L525</f>
        <v>0</v>
      </c>
      <c r="N526" s="70" t="n">
        <f aca="false">N525-M525</f>
        <v>0</v>
      </c>
      <c r="O526" s="70" t="n">
        <f aca="false">O525-N525</f>
        <v>0</v>
      </c>
      <c r="P526" s="70" t="n">
        <f aca="false">P525-O525</f>
        <v>0</v>
      </c>
      <c r="Q526" s="70" t="n">
        <f aca="false">Q525-P525</f>
        <v>0</v>
      </c>
      <c r="R526" s="70" t="n">
        <f aca="false">R525-Q525</f>
        <v>0</v>
      </c>
      <c r="S526" s="70" t="n">
        <f aca="false">S525-R525</f>
        <v>19135.1351351351</v>
      </c>
      <c r="T526" s="70" t="n">
        <f aca="false">T525-S525</f>
        <v>20000</v>
      </c>
      <c r="U526" s="70" t="n">
        <f aca="false">U525-T525</f>
        <v>15243.2432432432</v>
      </c>
      <c r="V526" s="70" t="n">
        <f aca="false">V525-U525</f>
        <v>20648.6486486487</v>
      </c>
      <c r="W526" s="70" t="n">
        <f aca="false">W525-V525</f>
        <v>20000</v>
      </c>
      <c r="X526" s="70" t="n">
        <f aca="false">X525-W525</f>
        <v>17513.5135135135</v>
      </c>
      <c r="Y526" s="70" t="n">
        <f aca="false">Y525-X525</f>
        <v>20648.6486486487</v>
      </c>
      <c r="Z526" s="70" t="n">
        <f aca="false">Z525-Y525</f>
        <v>18810.8108108108</v>
      </c>
      <c r="AA526" s="70" t="n">
        <f aca="false">AA525-Z525</f>
        <v>0</v>
      </c>
      <c r="AB526" s="70" t="n">
        <f aca="false">AB525-AA525</f>
        <v>0</v>
      </c>
    </row>
    <row r="527" customFormat="false" ht="15" hidden="false" customHeight="false" outlineLevel="0" collapsed="false">
      <c r="A527" s="29" t="s">
        <v>838</v>
      </c>
      <c r="B527" s="60" t="s">
        <v>860</v>
      </c>
      <c r="C527" s="61" t="n">
        <f aca="false">SUM(E527:P527)</f>
        <v>0</v>
      </c>
      <c r="D527" s="61" t="n">
        <f aca="false">SUM(Q527:AB527)</f>
        <v>152000</v>
      </c>
      <c r="E527" s="62" t="n">
        <f aca="false">IF(E$5="A",0,MAX(0,MIN(0,Engagement_Register!$AP$39-Engagement_Register!$V$39)))</f>
        <v>0</v>
      </c>
      <c r="F527" s="62" t="n">
        <f aca="false">IF(F$5="A",0,MAX(0,MIN(E523,Engagement_Register!$AP$39-E528)))</f>
        <v>0</v>
      </c>
      <c r="G527" s="62" t="n">
        <f aca="false">IF(G$5="A",0,MAX(0,MIN(F523,Engagement_Register!$AP$39-F528)))</f>
        <v>0</v>
      </c>
      <c r="H527" s="62" t="n">
        <f aca="false">IF(H$5="A",0,MAX(0,MIN(G523,Engagement_Register!$AP$39-G528)))</f>
        <v>0</v>
      </c>
      <c r="I527" s="62" t="n">
        <f aca="false">IF(I$5="A",0,MAX(0,MIN(H523,Engagement_Register!$AP$39-H528)))</f>
        <v>0</v>
      </c>
      <c r="J527" s="62" t="n">
        <f aca="false">IF(J$5="A",0,MAX(0,MIN(I523,Engagement_Register!$AP$39-I528)))</f>
        <v>0</v>
      </c>
      <c r="K527" s="62" t="n">
        <f aca="false">IF(K$5="A",0,MAX(0,MIN(J523,Engagement_Register!$AP$39-J528)))</f>
        <v>0</v>
      </c>
      <c r="L527" s="62" t="n">
        <f aca="false">IF(L$5="A",0,MAX(0,MIN(K523,Engagement_Register!$AP$39-K528)))</f>
        <v>0</v>
      </c>
      <c r="M527" s="62" t="n">
        <f aca="false">IF(M$5="A",0,MAX(0,MIN(L523,Engagement_Register!$AP$39-L528)))</f>
        <v>0</v>
      </c>
      <c r="N527" s="62" t="n">
        <f aca="false">IF(N$5="A",0,MAX(0,MIN(M523,Engagement_Register!$AP$39-M528)))</f>
        <v>0</v>
      </c>
      <c r="O527" s="62" t="n">
        <f aca="false">IF(O$5="A",0,MAX(0,MIN(N523,Engagement_Register!$AP$39-N528)))</f>
        <v>0</v>
      </c>
      <c r="P527" s="62" t="n">
        <f aca="false">IF(P$5="A",0,MAX(0,MIN(O523,Engagement_Register!$AP$39-O528)))</f>
        <v>0</v>
      </c>
      <c r="Q527" s="62" t="n">
        <f aca="false">IF(Q$5="A",0,MAX(0,MIN(P523,Engagement_Register!$AP$39-P528)))</f>
        <v>0</v>
      </c>
      <c r="R527" s="62" t="n">
        <f aca="false">IF(R$5="A",0,MAX(0,MIN(Q523,Engagement_Register!$AP$39-Q528)))</f>
        <v>0</v>
      </c>
      <c r="S527" s="62" t="n">
        <f aca="false">IF(S$5="A",0,MAX(0,MIN(R523,Engagement_Register!$AP$39-R528)))</f>
        <v>0</v>
      </c>
      <c r="T527" s="62" t="n">
        <f aca="false">IF(T$5="A",0,MAX(0,MIN(S523,Engagement_Register!$AP$39-S528)))</f>
        <v>20334.4665900427</v>
      </c>
      <c r="U527" s="62" t="n">
        <f aca="false">IF(U$5="A",0,MAX(0,MIN(T523,Engagement_Register!$AP$39-T528)))</f>
        <v>21253.5385263158</v>
      </c>
      <c r="V527" s="62" t="n">
        <f aca="false">IF(V$5="A",0,MAX(0,MIN(U523,Engagement_Register!$AP$39-U528)))</f>
        <v>16198.6428768137</v>
      </c>
      <c r="W527" s="62" t="n">
        <f aca="false">IF(W$5="A",0,MAX(0,MIN(V523,Engagement_Register!$AP$39-V528)))</f>
        <v>21942.8424785206</v>
      </c>
      <c r="X527" s="62" t="n">
        <f aca="false">IF(X$5="A",0,MAX(0,MIN(W523,Engagement_Register!$AP$39-W528)))</f>
        <v>21253.5385263158</v>
      </c>
      <c r="Y527" s="62" t="n">
        <f aca="false">IF(Y$5="A",0,MAX(0,MIN(X523,Engagement_Register!$AP$39-X528)))</f>
        <v>18611.2067095306</v>
      </c>
      <c r="Z527" s="62" t="n">
        <f aca="false">IF(Z$5="A",0,MAX(0,MIN(Y523,Engagement_Register!$AP$39-Y528)))</f>
        <v>21942.8424785206</v>
      </c>
      <c r="AA527" s="62" t="n">
        <f aca="false">IF(AA$5="A",0,MAX(0,MIN(Z523,Engagement_Register!$AP$39-Z528)))</f>
        <v>10462.9218139403</v>
      </c>
      <c r="AB527" s="62" t="n">
        <f aca="false">IF(AB$5="A",0,MAX(0,MIN(AA523,Engagement_Register!$AP$39-AA528)))</f>
        <v>0</v>
      </c>
    </row>
    <row r="528" customFormat="false" ht="15" hidden="false" customHeight="false" outlineLevel="0" collapsed="false">
      <c r="A528" s="29" t="s">
        <v>840</v>
      </c>
      <c r="B528" s="60"/>
      <c r="C528" s="61" t="n">
        <f aca="false">P528</f>
        <v>0</v>
      </c>
      <c r="D528" s="61" t="n">
        <f aca="false">AB528</f>
        <v>152000</v>
      </c>
      <c r="E528" s="62" t="n">
        <f aca="false">Engagement_Register!$V$39+E527</f>
        <v>0</v>
      </c>
      <c r="F528" s="71" t="n">
        <f aca="false">E528+F527</f>
        <v>0</v>
      </c>
      <c r="G528" s="71" t="n">
        <f aca="false">F528+G527</f>
        <v>0</v>
      </c>
      <c r="H528" s="71" t="n">
        <f aca="false">G528+H527</f>
        <v>0</v>
      </c>
      <c r="I528" s="71" t="n">
        <f aca="false">H528+I527</f>
        <v>0</v>
      </c>
      <c r="J528" s="71" t="n">
        <f aca="false">I528+J527</f>
        <v>0</v>
      </c>
      <c r="K528" s="71" t="n">
        <f aca="false">J528+K527</f>
        <v>0</v>
      </c>
      <c r="L528" s="71" t="n">
        <f aca="false">K528+L527</f>
        <v>0</v>
      </c>
      <c r="M528" s="71" t="n">
        <f aca="false">L528+M527</f>
        <v>0</v>
      </c>
      <c r="N528" s="71" t="n">
        <f aca="false">M528+N527</f>
        <v>0</v>
      </c>
      <c r="O528" s="71" t="n">
        <f aca="false">N528+O527</f>
        <v>0</v>
      </c>
      <c r="P528" s="71" t="n">
        <f aca="false">O528+P527</f>
        <v>0</v>
      </c>
      <c r="Q528" s="71" t="n">
        <f aca="false">P528+Q527</f>
        <v>0</v>
      </c>
      <c r="R528" s="71" t="n">
        <f aca="false">Q528+R527</f>
        <v>0</v>
      </c>
      <c r="S528" s="71" t="n">
        <f aca="false">R528+S527</f>
        <v>0</v>
      </c>
      <c r="T528" s="71" t="n">
        <f aca="false">S528+T527</f>
        <v>20334.4665900427</v>
      </c>
      <c r="U528" s="71" t="n">
        <f aca="false">T528+U527</f>
        <v>41588.0051163585</v>
      </c>
      <c r="V528" s="71" t="n">
        <f aca="false">U528+V527</f>
        <v>57786.6479931721</v>
      </c>
      <c r="W528" s="71" t="n">
        <f aca="false">V528+W527</f>
        <v>79729.4904716927</v>
      </c>
      <c r="X528" s="71" t="n">
        <f aca="false">W528+X527</f>
        <v>100983.028998009</v>
      </c>
      <c r="Y528" s="71" t="n">
        <f aca="false">X528+Y527</f>
        <v>119594.235707539</v>
      </c>
      <c r="Z528" s="71" t="n">
        <f aca="false">Y528+Z527</f>
        <v>141537.07818606</v>
      </c>
      <c r="AA528" s="71" t="n">
        <f aca="false">Z528+AA527</f>
        <v>152000</v>
      </c>
      <c r="AB528" s="71" t="n">
        <f aca="false">AA528+AB527</f>
        <v>152000</v>
      </c>
    </row>
    <row r="529" customFormat="false" ht="15" hidden="false" customHeight="false" outlineLevel="0" collapsed="false">
      <c r="A529" s="29" t="s">
        <v>841</v>
      </c>
      <c r="B529" s="60" t="s">
        <v>842</v>
      </c>
      <c r="C529" s="61" t="n">
        <f aca="false">SUM(E529:P529)</f>
        <v>0</v>
      </c>
      <c r="D529" s="61" t="n">
        <f aca="false">SUM(Q529:AB529)</f>
        <v>8652</v>
      </c>
      <c r="E529" s="62" t="n">
        <f aca="false">IF(E$5="A",0,E41*Engagement_Register!$N$39*Assumptions!E$195)</f>
        <v>0</v>
      </c>
      <c r="F529" s="62" t="n">
        <f aca="false">IF(F$5="A",0,F41*Engagement_Register!$N$39*Assumptions!F$195)</f>
        <v>0</v>
      </c>
      <c r="G529" s="62" t="n">
        <f aca="false">IF(G$5="A",0,G41*Engagement_Register!$N$39*Assumptions!G$195)</f>
        <v>0</v>
      </c>
      <c r="H529" s="62" t="n">
        <f aca="false">IF(H$5="A",0,H41*Engagement_Register!$N$39*Assumptions!H$195)</f>
        <v>0</v>
      </c>
      <c r="I529" s="62" t="n">
        <f aca="false">IF(I$5="A",0,I41*Engagement_Register!$N$39*Assumptions!I$195)</f>
        <v>0</v>
      </c>
      <c r="J529" s="62" t="n">
        <f aca="false">IF(J$5="A",0,J41*Engagement_Register!$N$39*Assumptions!J$195)</f>
        <v>0</v>
      </c>
      <c r="K529" s="62" t="n">
        <f aca="false">IF(K$5="A",0,K41*Engagement_Register!$N$39*Assumptions!K$195)</f>
        <v>0</v>
      </c>
      <c r="L529" s="62" t="n">
        <f aca="false">IF(L$5="A",0,L41*Engagement_Register!$N$39*Assumptions!L$195)</f>
        <v>0</v>
      </c>
      <c r="M529" s="62" t="n">
        <f aca="false">IF(M$5="A",0,M41*Engagement_Register!$N$39*Assumptions!M$195)</f>
        <v>0</v>
      </c>
      <c r="N529" s="62" t="n">
        <f aca="false">IF(N$5="A",0,N41*Engagement_Register!$N$39*Assumptions!N$195)</f>
        <v>0</v>
      </c>
      <c r="O529" s="62" t="n">
        <f aca="false">IF(O$5="A",0,O41*Engagement_Register!$N$39*Assumptions!O$195)</f>
        <v>0</v>
      </c>
      <c r="P529" s="62" t="n">
        <f aca="false">IF(P$5="A",0,P41*Engagement_Register!$N$39*Assumptions!P$195)</f>
        <v>0</v>
      </c>
      <c r="Q529" s="62" t="n">
        <f aca="false">IF(Q$5="A",0,Q41*Engagement_Register!$N$39*Assumptions!Q$195)</f>
        <v>0</v>
      </c>
      <c r="R529" s="62" t="n">
        <f aca="false">IF(R$5="A",0,R41*Engagement_Register!$N$39*Assumptions!R$195)</f>
        <v>0</v>
      </c>
      <c r="S529" s="62" t="n">
        <f aca="false">IF(S$5="A",0,S41*Engagement_Register!$N$39*Assumptions!S$195)</f>
        <v>1089.1920341394</v>
      </c>
      <c r="T529" s="62" t="n">
        <f aca="false">IF(T$5="A",0,T41*Engagement_Register!$N$39*Assumptions!T$195)</f>
        <v>1138.42105263158</v>
      </c>
      <c r="U529" s="62" t="n">
        <f aca="false">IF(U$5="A",0,U41*Engagement_Register!$N$39*Assumptions!U$195)</f>
        <v>867.661450924609</v>
      </c>
      <c r="V529" s="62" t="n">
        <f aca="false">IF(V$5="A",0,V41*Engagement_Register!$N$39*Assumptions!V$195)</f>
        <v>1175.34281650071</v>
      </c>
      <c r="W529" s="62" t="n">
        <f aca="false">IF(W$5="A",0,W41*Engagement_Register!$N$39*Assumptions!W$195)</f>
        <v>1138.42105263158</v>
      </c>
      <c r="X529" s="62" t="n">
        <f aca="false">IF(X$5="A",0,X41*Engagement_Register!$N$39*Assumptions!X$195)</f>
        <v>996.887624466572</v>
      </c>
      <c r="Y529" s="62" t="n">
        <f aca="false">IF(Y$5="A",0,Y41*Engagement_Register!$N$39*Assumptions!Y$195)</f>
        <v>1175.34281650071</v>
      </c>
      <c r="Z529" s="62" t="n">
        <f aca="false">IF(Z$5="A",0,Z41*Engagement_Register!$N$39*Assumptions!Z$195)</f>
        <v>1070.73115220484</v>
      </c>
      <c r="AA529" s="62" t="n">
        <f aca="false">IF(AA$5="A",0,AA41*Engagement_Register!$N$39*Assumptions!AA$195)</f>
        <v>0</v>
      </c>
      <c r="AB529" s="62" t="n">
        <f aca="false">IF(AB$5="A",0,AB41*Engagement_Register!$N$39*Assumptions!AB$195)</f>
        <v>0</v>
      </c>
    </row>
    <row r="530" customFormat="false" ht="15" hidden="false" customHeight="false" outlineLevel="0" collapsed="false">
      <c r="A530" s="29" t="s">
        <v>843</v>
      </c>
      <c r="B530" s="60" t="s">
        <v>844</v>
      </c>
      <c r="C530" s="61" t="n">
        <f aca="false">SUM(E530:P530)</f>
        <v>0</v>
      </c>
      <c r="D530" s="61" t="n">
        <f aca="false">SUM(Q530:AB530)</f>
        <v>8652</v>
      </c>
      <c r="E530" s="71" t="n">
        <f aca="false">E529</f>
        <v>0</v>
      </c>
      <c r="F530" s="71" t="n">
        <f aca="false">F529</f>
        <v>0</v>
      </c>
      <c r="G530" s="71" t="n">
        <f aca="false">G529</f>
        <v>0</v>
      </c>
      <c r="H530" s="71" t="n">
        <f aca="false">H529</f>
        <v>0</v>
      </c>
      <c r="I530" s="71" t="n">
        <f aca="false">I529</f>
        <v>0</v>
      </c>
      <c r="J530" s="71" t="n">
        <f aca="false">J529</f>
        <v>0</v>
      </c>
      <c r="K530" s="71" t="n">
        <f aca="false">K529</f>
        <v>0</v>
      </c>
      <c r="L530" s="71" t="n">
        <f aca="false">L529</f>
        <v>0</v>
      </c>
      <c r="M530" s="71" t="n">
        <f aca="false">M529</f>
        <v>0</v>
      </c>
      <c r="N530" s="71" t="n">
        <f aca="false">N529</f>
        <v>0</v>
      </c>
      <c r="O530" s="71" t="n">
        <f aca="false">O529</f>
        <v>0</v>
      </c>
      <c r="P530" s="71" t="n">
        <f aca="false">P529</f>
        <v>0</v>
      </c>
      <c r="Q530" s="71" t="n">
        <f aca="false">Q529</f>
        <v>0</v>
      </c>
      <c r="R530" s="71" t="n">
        <f aca="false">R529</f>
        <v>0</v>
      </c>
      <c r="S530" s="71" t="n">
        <f aca="false">S529</f>
        <v>1089.1920341394</v>
      </c>
      <c r="T530" s="71" t="n">
        <f aca="false">T529</f>
        <v>1138.42105263158</v>
      </c>
      <c r="U530" s="71" t="n">
        <f aca="false">U529</f>
        <v>867.661450924609</v>
      </c>
      <c r="V530" s="71" t="n">
        <f aca="false">V529</f>
        <v>1175.34281650071</v>
      </c>
      <c r="W530" s="71" t="n">
        <f aca="false">W529</f>
        <v>1138.42105263158</v>
      </c>
      <c r="X530" s="71" t="n">
        <f aca="false">X529</f>
        <v>996.887624466572</v>
      </c>
      <c r="Y530" s="71" t="n">
        <f aca="false">Y529</f>
        <v>1175.34281650071</v>
      </c>
      <c r="Z530" s="71" t="n">
        <f aca="false">Z529</f>
        <v>1070.73115220484</v>
      </c>
      <c r="AA530" s="71" t="n">
        <f aca="false">AA529</f>
        <v>0</v>
      </c>
      <c r="AB530" s="71" t="n">
        <f aca="false">AB529</f>
        <v>0</v>
      </c>
    </row>
    <row r="531" customFormat="false" ht="15" hidden="false" customHeight="false" outlineLevel="0" collapsed="false">
      <c r="A531" s="29" t="s">
        <v>845</v>
      </c>
      <c r="B531" s="60" t="s">
        <v>846</v>
      </c>
      <c r="C531" s="61" t="n">
        <f aca="false">SUM(E531:P531)</f>
        <v>0</v>
      </c>
      <c r="D531" s="61" t="n">
        <f aca="false">SUM(Q531:AB531)</f>
        <v>8652</v>
      </c>
      <c r="E531" s="71" t="n">
        <f aca="false">IF(E$5="A",0,0)</f>
        <v>0</v>
      </c>
      <c r="F531" s="71" t="n">
        <f aca="false">IF(F$5="A",0,E530)</f>
        <v>0</v>
      </c>
      <c r="G531" s="71" t="n">
        <f aca="false">IF(G$5="A",0,F530)</f>
        <v>0</v>
      </c>
      <c r="H531" s="71" t="n">
        <f aca="false">IF(H$5="A",0,G530)</f>
        <v>0</v>
      </c>
      <c r="I531" s="71" t="n">
        <f aca="false">IF(I$5="A",0,H530)</f>
        <v>0</v>
      </c>
      <c r="J531" s="71" t="n">
        <f aca="false">IF(J$5="A",0,I530)</f>
        <v>0</v>
      </c>
      <c r="K531" s="71" t="n">
        <f aca="false">IF(K$5="A",0,J530)</f>
        <v>0</v>
      </c>
      <c r="L531" s="71" t="n">
        <f aca="false">IF(L$5="A",0,K530)</f>
        <v>0</v>
      </c>
      <c r="M531" s="71" t="n">
        <f aca="false">IF(M$5="A",0,L530)</f>
        <v>0</v>
      </c>
      <c r="N531" s="71" t="n">
        <f aca="false">IF(N$5="A",0,M530)</f>
        <v>0</v>
      </c>
      <c r="O531" s="71" t="n">
        <f aca="false">IF(O$5="A",0,N530)</f>
        <v>0</v>
      </c>
      <c r="P531" s="71" t="n">
        <f aca="false">IF(P$5="A",0,O530)</f>
        <v>0</v>
      </c>
      <c r="Q531" s="71" t="n">
        <f aca="false">IF(Q$5="A",0,P530)</f>
        <v>0</v>
      </c>
      <c r="R531" s="71" t="n">
        <f aca="false">IF(R$5="A",0,Q530)</f>
        <v>0</v>
      </c>
      <c r="S531" s="71" t="n">
        <f aca="false">IF(S$5="A",0,R530)</f>
        <v>0</v>
      </c>
      <c r="T531" s="71" t="n">
        <f aca="false">IF(T$5="A",0,S530)</f>
        <v>1089.1920341394</v>
      </c>
      <c r="U531" s="71" t="n">
        <f aca="false">IF(U$5="A",0,T530)</f>
        <v>1138.42105263158</v>
      </c>
      <c r="V531" s="71" t="n">
        <f aca="false">IF(V$5="A",0,U530)</f>
        <v>867.661450924609</v>
      </c>
      <c r="W531" s="71" t="n">
        <f aca="false">IF(W$5="A",0,V530)</f>
        <v>1175.34281650071</v>
      </c>
      <c r="X531" s="71" t="n">
        <f aca="false">IF(X$5="A",0,W530)</f>
        <v>1138.42105263158</v>
      </c>
      <c r="Y531" s="71" t="n">
        <f aca="false">IF(Y$5="A",0,X530)</f>
        <v>996.887624466572</v>
      </c>
      <c r="Z531" s="71" t="n">
        <f aca="false">IF(Z$5="A",0,Y530)</f>
        <v>1175.34281650071</v>
      </c>
      <c r="AA531" s="71" t="n">
        <f aca="false">IF(AA$5="A",0,Z530)</f>
        <v>1070.73115220484</v>
      </c>
      <c r="AB531" s="71" t="n">
        <f aca="false">IF(AB$5="A",0,AA530)</f>
        <v>0</v>
      </c>
    </row>
    <row r="532" customFormat="false" ht="15" hidden="false" customHeight="false" outlineLevel="0" collapsed="false">
      <c r="A532" s="29" t="s">
        <v>847</v>
      </c>
      <c r="B532" s="60" t="s">
        <v>848</v>
      </c>
      <c r="C532" s="61" t="n">
        <f aca="false">P532</f>
        <v>0</v>
      </c>
      <c r="D532" s="61" t="n">
        <f aca="false">AB532</f>
        <v>0</v>
      </c>
      <c r="E532" s="62" t="n">
        <f aca="false">Engagement_Register!$X$39+E526+E530-E531-E527</f>
        <v>0</v>
      </c>
      <c r="F532" s="71" t="n">
        <f aca="false">E532+F526+F530-F531-F527</f>
        <v>0</v>
      </c>
      <c r="G532" s="71" t="n">
        <f aca="false">F532+G526+G530-G531-G527</f>
        <v>0</v>
      </c>
      <c r="H532" s="71" t="n">
        <f aca="false">G532+H526+H530-H531-H527</f>
        <v>0</v>
      </c>
      <c r="I532" s="71" t="n">
        <f aca="false">H532+I526+I530-I531-I527</f>
        <v>0</v>
      </c>
      <c r="J532" s="71" t="n">
        <f aca="false">I532+J526+J530-J531-J527</f>
        <v>0</v>
      </c>
      <c r="K532" s="71" t="n">
        <f aca="false">J532+K526+K530-K531-K527</f>
        <v>0</v>
      </c>
      <c r="L532" s="71" t="n">
        <f aca="false">K532+L526+L530-L531-L527</f>
        <v>0</v>
      </c>
      <c r="M532" s="71" t="n">
        <f aca="false">L532+M526+M530-M531-M527</f>
        <v>0</v>
      </c>
      <c r="N532" s="71" t="n">
        <f aca="false">M532+N526+N530-N531-N527</f>
        <v>0</v>
      </c>
      <c r="O532" s="71" t="n">
        <f aca="false">N532+O526+O530-O531-O527</f>
        <v>0</v>
      </c>
      <c r="P532" s="71" t="n">
        <f aca="false">O532+P526+P530-P531-P527</f>
        <v>0</v>
      </c>
      <c r="Q532" s="71" t="n">
        <f aca="false">P532+Q526+Q530-Q531-Q527</f>
        <v>0</v>
      </c>
      <c r="R532" s="71" t="n">
        <f aca="false">Q532+R526+R530-R531-R527</f>
        <v>0</v>
      </c>
      <c r="S532" s="71" t="n">
        <f aca="false">R532+S526+S530-S531-S527</f>
        <v>20224.3271692745</v>
      </c>
      <c r="T532" s="71" t="n">
        <f aca="false">S532+T526+T530-T531-T527</f>
        <v>19939.0895977241</v>
      </c>
      <c r="U532" s="71" t="n">
        <f aca="false">T532+U526+U530-U531-U527</f>
        <v>13658.0347129445</v>
      </c>
      <c r="V532" s="71" t="n">
        <f aca="false">U532+V526+V530-V531-V527</f>
        <v>18415.7218503556</v>
      </c>
      <c r="W532" s="71" t="n">
        <f aca="false">V532+W526+W530-W531-W527</f>
        <v>16435.9576079659</v>
      </c>
      <c r="X532" s="71" t="n">
        <f aca="false">W532+X526+X530-X531-X527</f>
        <v>12554.3991669986</v>
      </c>
      <c r="Y532" s="71" t="n">
        <f aca="false">X532+Y526+Y530-Y531-Y527</f>
        <v>14770.2962981508</v>
      </c>
      <c r="Z532" s="71" t="n">
        <f aca="false">Y532+Z526+Z530-Z531-Z527</f>
        <v>11533.6529661451</v>
      </c>
      <c r="AA532" s="71" t="n">
        <f aca="false">Z532+AA526+AA530-AA531-AA527</f>
        <v>0</v>
      </c>
      <c r="AB532" s="71" t="n">
        <f aca="false">AA532+AB526+AB530-AB531-AB527</f>
        <v>0</v>
      </c>
    </row>
    <row r="533" customFormat="false" ht="15" hidden="false" customHeight="false" outlineLevel="0" collapsed="false">
      <c r="A533" s="29" t="s">
        <v>890</v>
      </c>
      <c r="B533" s="60" t="s">
        <v>850</v>
      </c>
      <c r="C533" s="61" t="n">
        <f aca="false">P533</f>
        <v>152000</v>
      </c>
      <c r="D533" s="61" t="n">
        <f aca="false">AB533</f>
        <v>0</v>
      </c>
      <c r="E533" s="62" t="n">
        <f aca="false">MAX(0,Engagement_Register!$AP$39-E525)</f>
        <v>152000</v>
      </c>
      <c r="F533" s="62" t="n">
        <f aca="false">MAX(0,Engagement_Register!$AP$39-F525)</f>
        <v>152000</v>
      </c>
      <c r="G533" s="62" t="n">
        <f aca="false">MAX(0,Engagement_Register!$AP$39-G525)</f>
        <v>152000</v>
      </c>
      <c r="H533" s="62" t="n">
        <f aca="false">MAX(0,Engagement_Register!$AP$39-H525)</f>
        <v>152000</v>
      </c>
      <c r="I533" s="62" t="n">
        <f aca="false">MAX(0,Engagement_Register!$AP$39-I525)</f>
        <v>152000</v>
      </c>
      <c r="J533" s="62" t="n">
        <f aca="false">MAX(0,Engagement_Register!$AP$39-J525)</f>
        <v>152000</v>
      </c>
      <c r="K533" s="62" t="n">
        <f aca="false">MAX(0,Engagement_Register!$AP$39-K525)</f>
        <v>152000</v>
      </c>
      <c r="L533" s="62" t="n">
        <f aca="false">MAX(0,Engagement_Register!$AP$39-L525)</f>
        <v>152000</v>
      </c>
      <c r="M533" s="62" t="n">
        <f aca="false">MAX(0,Engagement_Register!$AP$39-M525)</f>
        <v>152000</v>
      </c>
      <c r="N533" s="62" t="n">
        <f aca="false">MAX(0,Engagement_Register!$AP$39-N525)</f>
        <v>152000</v>
      </c>
      <c r="O533" s="62" t="n">
        <f aca="false">MAX(0,Engagement_Register!$AP$39-O525)</f>
        <v>152000</v>
      </c>
      <c r="P533" s="62" t="n">
        <f aca="false">MAX(0,Engagement_Register!$AP$39-P525)</f>
        <v>152000</v>
      </c>
      <c r="Q533" s="62" t="n">
        <f aca="false">MAX(0,Engagement_Register!$AP$39-Q525)</f>
        <v>152000</v>
      </c>
      <c r="R533" s="62" t="n">
        <f aca="false">MAX(0,Engagement_Register!$AP$39-R525)</f>
        <v>152000</v>
      </c>
      <c r="S533" s="62" t="n">
        <f aca="false">MAX(0,Engagement_Register!$AP$39-S525)</f>
        <v>132864.864864865</v>
      </c>
      <c r="T533" s="62" t="n">
        <f aca="false">MAX(0,Engagement_Register!$AP$39-T525)</f>
        <v>112864.864864865</v>
      </c>
      <c r="U533" s="62" t="n">
        <f aca="false">MAX(0,Engagement_Register!$AP$39-U525)</f>
        <v>97621.6216216216</v>
      </c>
      <c r="V533" s="62" t="n">
        <f aca="false">MAX(0,Engagement_Register!$AP$39-V525)</f>
        <v>76972.972972973</v>
      </c>
      <c r="W533" s="62" t="n">
        <f aca="false">MAX(0,Engagement_Register!$AP$39-W525)</f>
        <v>56972.972972973</v>
      </c>
      <c r="X533" s="62" t="n">
        <f aca="false">MAX(0,Engagement_Register!$AP$39-X525)</f>
        <v>39459.4594594595</v>
      </c>
      <c r="Y533" s="62" t="n">
        <f aca="false">MAX(0,Engagement_Register!$AP$39-Y525)</f>
        <v>18810.8108108108</v>
      </c>
      <c r="Z533" s="62" t="n">
        <f aca="false">MAX(0,Engagement_Register!$AP$39-Z525)</f>
        <v>0</v>
      </c>
      <c r="AA533" s="62" t="n">
        <f aca="false">MAX(0,Engagement_Register!$AP$39-AA525)</f>
        <v>0</v>
      </c>
      <c r="AB533" s="62" t="n">
        <f aca="false">MAX(0,Engagement_Register!$AP$39-AB525)</f>
        <v>0</v>
      </c>
    </row>
    <row r="535" customFormat="false" ht="15" hidden="false" customHeight="false" outlineLevel="0" collapsed="false">
      <c r="A535" s="23" t="s">
        <v>900</v>
      </c>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row>
    <row r="536" customFormat="false" ht="15" hidden="false" customHeight="false" outlineLevel="0" collapsed="false">
      <c r="A536" s="29" t="s">
        <v>901</v>
      </c>
      <c r="B536" s="60" t="s">
        <v>902</v>
      </c>
      <c r="C536" s="66" t="n">
        <f aca="false">SUM(E536:P536)</f>
        <v>705.020039288817</v>
      </c>
      <c r="D536" s="66" t="n">
        <f aca="false">SUM(Q536:AB536)</f>
        <v>10100.7207566568</v>
      </c>
      <c r="E536" s="67" t="n">
        <f aca="false">Capacity!E11+Capacity!E18+Capacity!E25+Capacity!E32+Capacity!E39</f>
        <v>0</v>
      </c>
      <c r="F536" s="67" t="n">
        <f aca="false">Capacity!F11+Capacity!F18+Capacity!F25+Capacity!F32+Capacity!F39</f>
        <v>0</v>
      </c>
      <c r="G536" s="67" t="n">
        <f aca="false">Capacity!G11+Capacity!G18+Capacity!G25+Capacity!G32+Capacity!G39</f>
        <v>0</v>
      </c>
      <c r="H536" s="67" t="n">
        <f aca="false">Capacity!H11+Capacity!H18+Capacity!H25+Capacity!H32+Capacity!H39</f>
        <v>0</v>
      </c>
      <c r="I536" s="67" t="n">
        <f aca="false">Capacity!I11+Capacity!I18+Capacity!I25+Capacity!I32+Capacity!I39</f>
        <v>0</v>
      </c>
      <c r="J536" s="67" t="n">
        <f aca="false">Capacity!J11+Capacity!J18+Capacity!J25+Capacity!J32+Capacity!J39</f>
        <v>0</v>
      </c>
      <c r="K536" s="67" t="n">
        <f aca="false">Capacity!K11+Capacity!K18+Capacity!K25+Capacity!K32+Capacity!K39</f>
        <v>0</v>
      </c>
      <c r="L536" s="67" t="n">
        <f aca="false">Capacity!L11+Capacity!L18+Capacity!L25+Capacity!L32+Capacity!L39</f>
        <v>0</v>
      </c>
      <c r="M536" s="67" t="n">
        <f aca="false">Capacity!M11+Capacity!M18+Capacity!M25+Capacity!M32+Capacity!M39</f>
        <v>0</v>
      </c>
      <c r="N536" s="67" t="n">
        <f aca="false">Capacity!N11+Capacity!N18+Capacity!N25+Capacity!N32+Capacity!N39</f>
        <v>0</v>
      </c>
      <c r="O536" s="67" t="n">
        <f aca="false">Capacity!O11+Capacity!O18+Capacity!O25+Capacity!O32+Capacity!O39</f>
        <v>282.837782851751</v>
      </c>
      <c r="P536" s="67" t="n">
        <f aca="false">Capacity!P11+Capacity!P18+Capacity!P25+Capacity!P32+Capacity!P39</f>
        <v>422.182256437066</v>
      </c>
      <c r="Q536" s="67" t="n">
        <f aca="false">Capacity!Q11+Capacity!Q18+Capacity!Q25+Capacity!Q32+Capacity!Q39</f>
        <v>433.067050163058</v>
      </c>
      <c r="R536" s="67" t="n">
        <f aca="false">Capacity!R11+Capacity!R18+Capacity!R25+Capacity!R32+Capacity!R39</f>
        <v>446.412003249</v>
      </c>
      <c r="S536" s="67" t="n">
        <f aca="false">Capacity!S11+Capacity!S18+Capacity!S25+Capacity!S32+Capacity!S39</f>
        <v>393.933791610237</v>
      </c>
      <c r="T536" s="67" t="n">
        <f aca="false">Capacity!T11+Capacity!T18+Capacity!T25+Capacity!T32+Capacity!T39</f>
        <v>673.279210626148</v>
      </c>
      <c r="U536" s="67" t="n">
        <f aca="false">Capacity!U11+Capacity!U18+Capacity!U25+Capacity!U32+Capacity!U39</f>
        <v>513.153491567836</v>
      </c>
      <c r="V536" s="67" t="n">
        <f aca="false">Capacity!V11+Capacity!V18+Capacity!V25+Capacity!V32+Capacity!V39</f>
        <v>695.129061715233</v>
      </c>
      <c r="W536" s="67" t="n">
        <f aca="false">Capacity!W11+Capacity!W18+Capacity!W25+Capacity!W32+Capacity!W39</f>
        <v>856.298488880811</v>
      </c>
      <c r="X536" s="67" t="n">
        <f aca="false">Capacity!X11+Capacity!X18+Capacity!X25+Capacity!X32+Capacity!X39</f>
        <v>891.926023326603</v>
      </c>
      <c r="Y536" s="67" t="n">
        <f aca="false">Capacity!Y11+Capacity!Y18+Capacity!Y25+Capacity!Y32+Capacity!Y39</f>
        <v>1151.828515624</v>
      </c>
      <c r="Z536" s="67" t="n">
        <f aca="false">Capacity!Z11+Capacity!Z18+Capacity!Z25+Capacity!Z32+Capacity!Z39</f>
        <v>1217.13938316797</v>
      </c>
      <c r="AA536" s="67" t="n">
        <f aca="false">Capacity!AA11+Capacity!AA18+Capacity!AA25+Capacity!AA32+Capacity!AA39</f>
        <v>1358.90801809913</v>
      </c>
      <c r="AB536" s="67" t="n">
        <f aca="false">Capacity!AB11+Capacity!AB18+Capacity!AB25+Capacity!AB32+Capacity!AB39</f>
        <v>1469.6457186268</v>
      </c>
    </row>
    <row r="537" customFormat="false" ht="15" hidden="false" customHeight="false" outlineLevel="0" collapsed="false">
      <c r="A537" s="29" t="s">
        <v>833</v>
      </c>
      <c r="B537" s="60" t="s">
        <v>903</v>
      </c>
      <c r="C537" s="61" t="n">
        <f aca="false">SUM(E537:P537)</f>
        <v>140722.603737138</v>
      </c>
      <c r="D537" s="61" t="n">
        <f aca="false">SUM(Q537:AB537)</f>
        <v>2108403.37536994</v>
      </c>
      <c r="E537" s="62" t="n">
        <f aca="false">(Capacity!E11*Assumptions!$C$64+Capacity!E18*Assumptions!$C$65+Capacity!E25*Assumptions!$C$66+Capacity!E32*Assumptions!$C$67+Capacity!E39*Assumptions!$C$68)*Assumptions!E$194</f>
        <v>0</v>
      </c>
      <c r="F537" s="62" t="n">
        <f aca="false">(Capacity!F11*Assumptions!$C$64+Capacity!F18*Assumptions!$C$65+Capacity!F25*Assumptions!$C$66+Capacity!F32*Assumptions!$C$67+Capacity!F39*Assumptions!$C$68)*Assumptions!F$194</f>
        <v>0</v>
      </c>
      <c r="G537" s="62" t="n">
        <f aca="false">(Capacity!G11*Assumptions!$C$64+Capacity!G18*Assumptions!$C$65+Capacity!G25*Assumptions!$C$66+Capacity!G32*Assumptions!$C$67+Capacity!G39*Assumptions!$C$68)*Assumptions!G$194</f>
        <v>0</v>
      </c>
      <c r="H537" s="62" t="n">
        <f aca="false">(Capacity!H11*Assumptions!$C$64+Capacity!H18*Assumptions!$C$65+Capacity!H25*Assumptions!$C$66+Capacity!H32*Assumptions!$C$67+Capacity!H39*Assumptions!$C$68)*Assumptions!H$194</f>
        <v>0</v>
      </c>
      <c r="I537" s="62" t="n">
        <f aca="false">(Capacity!I11*Assumptions!$C$64+Capacity!I18*Assumptions!$C$65+Capacity!I25*Assumptions!$C$66+Capacity!I32*Assumptions!$C$67+Capacity!I39*Assumptions!$C$68)*Assumptions!I$194</f>
        <v>0</v>
      </c>
      <c r="J537" s="62" t="n">
        <f aca="false">(Capacity!J11*Assumptions!$C$64+Capacity!J18*Assumptions!$C$65+Capacity!J25*Assumptions!$C$66+Capacity!J32*Assumptions!$C$67+Capacity!J39*Assumptions!$C$68)*Assumptions!J$194</f>
        <v>0</v>
      </c>
      <c r="K537" s="62" t="n">
        <f aca="false">(Capacity!K11*Assumptions!$C$64+Capacity!K18*Assumptions!$C$65+Capacity!K25*Assumptions!$C$66+Capacity!K32*Assumptions!$C$67+Capacity!K39*Assumptions!$C$68)*Assumptions!K$194</f>
        <v>0</v>
      </c>
      <c r="L537" s="62" t="n">
        <f aca="false">(Capacity!L11*Assumptions!$C$64+Capacity!L18*Assumptions!$C$65+Capacity!L25*Assumptions!$C$66+Capacity!L32*Assumptions!$C$67+Capacity!L39*Assumptions!$C$68)*Assumptions!L$194</f>
        <v>0</v>
      </c>
      <c r="M537" s="62" t="n">
        <f aca="false">(Capacity!M11*Assumptions!$C$64+Capacity!M18*Assumptions!$C$65+Capacity!M25*Assumptions!$C$66+Capacity!M32*Assumptions!$C$67+Capacity!M39*Assumptions!$C$68)*Assumptions!M$194</f>
        <v>0</v>
      </c>
      <c r="N537" s="62" t="n">
        <f aca="false">(Capacity!N11*Assumptions!$C$64+Capacity!N18*Assumptions!$C$65+Capacity!N25*Assumptions!$C$66+Capacity!N32*Assumptions!$C$67+Capacity!N39*Assumptions!$C$68)*Assumptions!N$194</f>
        <v>0</v>
      </c>
      <c r="O537" s="62" t="n">
        <f aca="false">(Capacity!O11*Assumptions!$C$64+Capacity!O18*Assumptions!$C$65+Capacity!O25*Assumptions!$C$66+Capacity!O32*Assumptions!$C$67+Capacity!O39*Assumptions!$C$68)*Assumptions!O$194</f>
        <v>55970.0253137627</v>
      </c>
      <c r="P537" s="62" t="n">
        <f aca="false">(Capacity!P11*Assumptions!$C$64+Capacity!P18*Assumptions!$C$65+Capacity!P25*Assumptions!$C$66+Capacity!P32*Assumptions!$C$67+Capacity!P39*Assumptions!$C$68)*Assumptions!P$194</f>
        <v>84752.5784233751</v>
      </c>
      <c r="Q537" s="62" t="n">
        <f aca="false">(Capacity!Q11*Assumptions!$C$64+Capacity!Q18*Assumptions!$C$65+Capacity!Q25*Assumptions!$C$66+Capacity!Q32*Assumptions!$C$67+Capacity!Q39*Assumptions!$C$68)*Assumptions!Q$194</f>
        <v>93386.7588892938</v>
      </c>
      <c r="R537" s="62" t="n">
        <f aca="false">(Capacity!R11*Assumptions!$C$64+Capacity!R18*Assumptions!$C$65+Capacity!R25*Assumptions!$C$66+Capacity!R32*Assumptions!$C$67+Capacity!R39*Assumptions!$C$68)*Assumptions!R$194</f>
        <v>96248.1050947647</v>
      </c>
      <c r="S537" s="62" t="n">
        <f aca="false">(Capacity!S11*Assumptions!$C$64+Capacity!S18*Assumptions!$C$65+Capacity!S25*Assumptions!$C$66+Capacity!S32*Assumptions!$C$67+Capacity!S39*Assumptions!$C$68)*Assumptions!S$194</f>
        <v>85854.7246345019</v>
      </c>
      <c r="T537" s="62" t="n">
        <f aca="false">(Capacity!T11*Assumptions!$C$64+Capacity!T18*Assumptions!$C$65+Capacity!T25*Assumptions!$C$66+Capacity!T32*Assumptions!$C$67+Capacity!T39*Assumptions!$C$68)*Assumptions!T$194</f>
        <v>143221.761536559</v>
      </c>
      <c r="U537" s="62" t="n">
        <f aca="false">(Capacity!U11*Assumptions!$C$64+Capacity!U18*Assumptions!$C$65+Capacity!U25*Assumptions!$C$66+Capacity!U32*Assumptions!$C$67+Capacity!U39*Assumptions!$C$68)*Assumptions!U$194</f>
        <v>109159.703015339</v>
      </c>
      <c r="V537" s="62" t="n">
        <f aca="false">(Capacity!V11*Assumptions!$C$64+Capacity!V18*Assumptions!$C$65+Capacity!V25*Assumptions!$C$66+Capacity!V32*Assumptions!$C$67+Capacity!V39*Assumptions!$C$68)*Assumptions!V$194</f>
        <v>147870.37856588</v>
      </c>
      <c r="W537" s="62" t="n">
        <f aca="false">(Capacity!W11*Assumptions!$C$64+Capacity!W18*Assumptions!$C$65+Capacity!W25*Assumptions!$C$66+Capacity!W32*Assumptions!$C$67+Capacity!W39*Assumptions!$C$68)*Assumptions!W$194</f>
        <v>180662.523244831</v>
      </c>
      <c r="X537" s="62" t="n">
        <f aca="false">(Capacity!X11*Assumptions!$C$64+Capacity!X18*Assumptions!$C$65+Capacity!X25*Assumptions!$C$66+Capacity!X32*Assumptions!$C$67+Capacity!X39*Assumptions!$C$68)*Assumptions!X$194</f>
        <v>187268.073654809</v>
      </c>
      <c r="Y537" s="62" t="n">
        <f aca="false">(Capacity!Y11*Assumptions!$C$64+Capacity!Y18*Assumptions!$C$65+Capacity!Y25*Assumptions!$C$66+Capacity!Y32*Assumptions!$C$67+Capacity!Y39*Assumptions!$C$68)*Assumptions!Y$194</f>
        <v>235907.061026184</v>
      </c>
      <c r="Z537" s="62" t="n">
        <f aca="false">(Capacity!Z11*Assumptions!$C$64+Capacity!Z18*Assumptions!$C$65+Capacity!Z25*Assumptions!$C$66+Capacity!Z32*Assumptions!$C$67+Capacity!Z39*Assumptions!$C$68)*Assumptions!Z$194</f>
        <v>249304.042490667</v>
      </c>
      <c r="AA537" s="62" t="n">
        <f aca="false">(Capacity!AA11*Assumptions!$C$64+Capacity!AA18*Assumptions!$C$65+Capacity!AA25*Assumptions!$C$66+Capacity!AA32*Assumptions!$C$67+Capacity!AA39*Assumptions!$C$68)*Assumptions!AA$194</f>
        <v>278383.302252459</v>
      </c>
      <c r="AB537" s="62" t="n">
        <f aca="false">(Capacity!AB11*Assumptions!$C$64+Capacity!AB18*Assumptions!$C$65+Capacity!AB25*Assumptions!$C$66+Capacity!AB32*Assumptions!$C$67+Capacity!AB39*Assumptions!$C$68)*Assumptions!AB$194</f>
        <v>301136.940964652</v>
      </c>
    </row>
    <row r="538" customFormat="false" ht="15" hidden="false" customHeight="false" outlineLevel="0" collapsed="false">
      <c r="A538" s="29" t="s">
        <v>835</v>
      </c>
      <c r="B538" s="60" t="s">
        <v>904</v>
      </c>
      <c r="C538" s="61" t="n">
        <f aca="false">SUM(E538:P538)</f>
        <v>129464.795438167</v>
      </c>
      <c r="D538" s="61" t="n">
        <f aca="false">SUM(Q538:AB538)</f>
        <v>1939731.10534035</v>
      </c>
      <c r="E538" s="62" t="n">
        <f aca="false">E537*(1-Assumptions!$C$153)</f>
        <v>0</v>
      </c>
      <c r="F538" s="62" t="n">
        <f aca="false">F537*(1-Assumptions!$C$153)</f>
        <v>0</v>
      </c>
      <c r="G538" s="62" t="n">
        <f aca="false">G537*(1-Assumptions!$C$153)</f>
        <v>0</v>
      </c>
      <c r="H538" s="62" t="n">
        <f aca="false">H537*(1-Assumptions!$C$153)</f>
        <v>0</v>
      </c>
      <c r="I538" s="62" t="n">
        <f aca="false">I537*(1-Assumptions!$C$153)</f>
        <v>0</v>
      </c>
      <c r="J538" s="62" t="n">
        <f aca="false">J537*(1-Assumptions!$C$153)</f>
        <v>0</v>
      </c>
      <c r="K538" s="62" t="n">
        <f aca="false">K537*(1-Assumptions!$C$153)</f>
        <v>0</v>
      </c>
      <c r="L538" s="62" t="n">
        <f aca="false">L537*(1-Assumptions!$C$153)</f>
        <v>0</v>
      </c>
      <c r="M538" s="62" t="n">
        <f aca="false">M537*(1-Assumptions!$C$153)</f>
        <v>0</v>
      </c>
      <c r="N538" s="62" t="n">
        <f aca="false">N537*(1-Assumptions!$C$153)</f>
        <v>0</v>
      </c>
      <c r="O538" s="62" t="n">
        <f aca="false">O537*(1-Assumptions!$C$153)</f>
        <v>51492.4232886616</v>
      </c>
      <c r="P538" s="62" t="n">
        <f aca="false">P537*(1-Assumptions!$C$153)</f>
        <v>77972.3721495051</v>
      </c>
      <c r="Q538" s="62" t="n">
        <f aca="false">Q537*(1-Assumptions!$C$153)</f>
        <v>85915.8181781503</v>
      </c>
      <c r="R538" s="62" t="n">
        <f aca="false">R537*(1-Assumptions!$C$153)</f>
        <v>88548.2566871835</v>
      </c>
      <c r="S538" s="62" t="n">
        <f aca="false">S537*(1-Assumptions!$C$153)</f>
        <v>78986.3466637418</v>
      </c>
      <c r="T538" s="62" t="n">
        <f aca="false">T537*(1-Assumptions!$C$153)</f>
        <v>131764.020613634</v>
      </c>
      <c r="U538" s="62" t="n">
        <f aca="false">U537*(1-Assumptions!$C$153)</f>
        <v>100426.926774112</v>
      </c>
      <c r="V538" s="62" t="n">
        <f aca="false">V537*(1-Assumptions!$C$153)</f>
        <v>136040.74828061</v>
      </c>
      <c r="W538" s="62" t="n">
        <f aca="false">W537*(1-Assumptions!$C$153)</f>
        <v>166209.521385244</v>
      </c>
      <c r="X538" s="62" t="n">
        <f aca="false">X537*(1-Assumptions!$C$153)</f>
        <v>172286.627762425</v>
      </c>
      <c r="Y538" s="62" t="n">
        <f aca="false">Y537*(1-Assumptions!$C$153)</f>
        <v>217034.49614409</v>
      </c>
      <c r="Z538" s="62" t="n">
        <f aca="false">Z537*(1-Assumptions!$C$153)</f>
        <v>229359.719091414</v>
      </c>
      <c r="AA538" s="62" t="n">
        <f aca="false">AA537*(1-Assumptions!$C$153)</f>
        <v>256112.638072263</v>
      </c>
      <c r="AB538" s="62" t="n">
        <f aca="false">AB537*(1-Assumptions!$C$153)</f>
        <v>277045.98568748</v>
      </c>
    </row>
    <row r="539" customFormat="false" ht="15" hidden="false" customHeight="false" outlineLevel="0" collapsed="false">
      <c r="A539" s="68" t="s">
        <v>349</v>
      </c>
      <c r="B539" s="69" t="s">
        <v>905</v>
      </c>
      <c r="C539" s="70" t="n">
        <f aca="false">SUM(E539:P539)</f>
        <v>124286.20362064</v>
      </c>
      <c r="D539" s="70" t="n">
        <f aca="false">SUM(Q539:AB539)</f>
        <v>1862141.86112673</v>
      </c>
      <c r="E539" s="74" t="n">
        <f aca="false">E538*(1-Assumptions!$C$154)</f>
        <v>0</v>
      </c>
      <c r="F539" s="74" t="n">
        <f aca="false">F538*(1-Assumptions!$C$154)</f>
        <v>0</v>
      </c>
      <c r="G539" s="74" t="n">
        <f aca="false">G538*(1-Assumptions!$C$154)</f>
        <v>0</v>
      </c>
      <c r="H539" s="74" t="n">
        <f aca="false">H538*(1-Assumptions!$C$154)</f>
        <v>0</v>
      </c>
      <c r="I539" s="74" t="n">
        <f aca="false">I538*(1-Assumptions!$C$154)</f>
        <v>0</v>
      </c>
      <c r="J539" s="74" t="n">
        <f aca="false">J538*(1-Assumptions!$C$154)</f>
        <v>0</v>
      </c>
      <c r="K539" s="74" t="n">
        <f aca="false">K538*(1-Assumptions!$C$154)</f>
        <v>0</v>
      </c>
      <c r="L539" s="74" t="n">
        <f aca="false">L538*(1-Assumptions!$C$154)</f>
        <v>0</v>
      </c>
      <c r="M539" s="74" t="n">
        <f aca="false">M538*(1-Assumptions!$C$154)</f>
        <v>0</v>
      </c>
      <c r="N539" s="74" t="n">
        <f aca="false">N538*(1-Assumptions!$C$154)</f>
        <v>0</v>
      </c>
      <c r="O539" s="74" t="n">
        <f aca="false">O538*(1-Assumptions!$C$154)</f>
        <v>49432.7263571152</v>
      </c>
      <c r="P539" s="74" t="n">
        <f aca="false">P538*(1-Assumptions!$C$154)</f>
        <v>74853.4772635249</v>
      </c>
      <c r="Q539" s="74" t="n">
        <f aca="false">Q538*(1-Assumptions!$C$154)</f>
        <v>82479.1854510243</v>
      </c>
      <c r="R539" s="74" t="n">
        <f aca="false">R538*(1-Assumptions!$C$154)</f>
        <v>85006.3264196961</v>
      </c>
      <c r="S539" s="74" t="n">
        <f aca="false">S538*(1-Assumptions!$C$154)</f>
        <v>75826.8927971921</v>
      </c>
      <c r="T539" s="74" t="n">
        <f aca="false">T538*(1-Assumptions!$C$154)</f>
        <v>126493.459789089</v>
      </c>
      <c r="U539" s="74" t="n">
        <f aca="false">U538*(1-Assumptions!$C$154)</f>
        <v>96409.8497031476</v>
      </c>
      <c r="V539" s="74" t="n">
        <f aca="false">V538*(1-Assumptions!$C$154)</f>
        <v>130599.118349385</v>
      </c>
      <c r="W539" s="74" t="n">
        <f aca="false">W538*(1-Assumptions!$C$154)</f>
        <v>159561.140529834</v>
      </c>
      <c r="X539" s="74" t="n">
        <f aca="false">X538*(1-Assumptions!$C$154)</f>
        <v>165395.162651928</v>
      </c>
      <c r="Y539" s="74" t="n">
        <f aca="false">Y538*(1-Assumptions!$C$154)</f>
        <v>208353.116298326</v>
      </c>
      <c r="Z539" s="74" t="n">
        <f aca="false">Z538*(1-Assumptions!$C$154)</f>
        <v>220185.330327757</v>
      </c>
      <c r="AA539" s="74" t="n">
        <f aca="false">AA538*(1-Assumptions!$C$154)</f>
        <v>245868.132549372</v>
      </c>
      <c r="AB539" s="74" t="n">
        <f aca="false">AB538*(1-Assumptions!$C$154)</f>
        <v>265964.146259981</v>
      </c>
    </row>
    <row r="540" customFormat="false" ht="15" hidden="false" customHeight="false" outlineLevel="0" collapsed="false">
      <c r="A540" s="29" t="s">
        <v>838</v>
      </c>
      <c r="B540" s="60" t="s">
        <v>906</v>
      </c>
      <c r="C540" s="61" t="n">
        <f aca="false">SUM(E540:P540)</f>
        <v>49432.7263571152</v>
      </c>
      <c r="D540" s="61" t="n">
        <f aca="false">SUM(Q540:AB540)</f>
        <v>1671031.19213028</v>
      </c>
      <c r="E540" s="71" t="n">
        <f aca="false">0</f>
        <v>0</v>
      </c>
      <c r="F540" s="71" t="n">
        <f aca="false">E539</f>
        <v>0</v>
      </c>
      <c r="G540" s="71" t="n">
        <f aca="false">F539</f>
        <v>0</v>
      </c>
      <c r="H540" s="71" t="n">
        <f aca="false">G539</f>
        <v>0</v>
      </c>
      <c r="I540" s="71" t="n">
        <f aca="false">H539</f>
        <v>0</v>
      </c>
      <c r="J540" s="71" t="n">
        <f aca="false">I539</f>
        <v>0</v>
      </c>
      <c r="K540" s="71" t="n">
        <f aca="false">J539</f>
        <v>0</v>
      </c>
      <c r="L540" s="71" t="n">
        <f aca="false">K539</f>
        <v>0</v>
      </c>
      <c r="M540" s="71" t="n">
        <f aca="false">L539</f>
        <v>0</v>
      </c>
      <c r="N540" s="71" t="n">
        <f aca="false">M539</f>
        <v>0</v>
      </c>
      <c r="O540" s="71" t="n">
        <f aca="false">N539</f>
        <v>0</v>
      </c>
      <c r="P540" s="71" t="n">
        <f aca="false">O539</f>
        <v>49432.7263571152</v>
      </c>
      <c r="Q540" s="71" t="n">
        <f aca="false">P539</f>
        <v>74853.4772635249</v>
      </c>
      <c r="R540" s="71" t="n">
        <f aca="false">Q539</f>
        <v>82479.1854510243</v>
      </c>
      <c r="S540" s="71" t="n">
        <f aca="false">R539</f>
        <v>85006.3264196961</v>
      </c>
      <c r="T540" s="71" t="n">
        <f aca="false">S539</f>
        <v>75826.8927971921</v>
      </c>
      <c r="U540" s="71" t="n">
        <f aca="false">T539</f>
        <v>126493.459789089</v>
      </c>
      <c r="V540" s="71" t="n">
        <f aca="false">U539</f>
        <v>96409.8497031476</v>
      </c>
      <c r="W540" s="71" t="n">
        <f aca="false">V539</f>
        <v>130599.118349385</v>
      </c>
      <c r="X540" s="71" t="n">
        <f aca="false">W539</f>
        <v>159561.140529834</v>
      </c>
      <c r="Y540" s="71" t="n">
        <f aca="false">X539</f>
        <v>165395.162651928</v>
      </c>
      <c r="Z540" s="71" t="n">
        <f aca="false">Y539</f>
        <v>208353.116298326</v>
      </c>
      <c r="AA540" s="71" t="n">
        <f aca="false">Z539</f>
        <v>220185.330327757</v>
      </c>
      <c r="AB540" s="71" t="n">
        <f aca="false">AA539</f>
        <v>245868.132549372</v>
      </c>
    </row>
    <row r="541" customFormat="false" ht="15" hidden="false" customHeight="false" outlineLevel="0" collapsed="false">
      <c r="A541" s="29" t="s">
        <v>841</v>
      </c>
      <c r="B541" s="60" t="s">
        <v>907</v>
      </c>
      <c r="C541" s="61" t="n">
        <f aca="false">SUM(E541:P541)</f>
        <v>7755.22043217699</v>
      </c>
      <c r="D541" s="61" t="n">
        <f aca="false">SUM(Q541:AB541)</f>
        <v>114441.166172922</v>
      </c>
      <c r="E541" s="62" t="n">
        <f aca="false">E536*Assumptions!$C$155*Assumptions!E$195</f>
        <v>0</v>
      </c>
      <c r="F541" s="62" t="n">
        <f aca="false">F536*Assumptions!$C$155*Assumptions!F$195</f>
        <v>0</v>
      </c>
      <c r="G541" s="62" t="n">
        <f aca="false">G536*Assumptions!$C$155*Assumptions!G$195</f>
        <v>0</v>
      </c>
      <c r="H541" s="62" t="n">
        <f aca="false">H536*Assumptions!$C$155*Assumptions!H$195</f>
        <v>0</v>
      </c>
      <c r="I541" s="62" t="n">
        <f aca="false">I536*Assumptions!$C$155*Assumptions!I$195</f>
        <v>0</v>
      </c>
      <c r="J541" s="62" t="n">
        <f aca="false">J536*Assumptions!$C$155*Assumptions!J$195</f>
        <v>0</v>
      </c>
      <c r="K541" s="62" t="n">
        <f aca="false">K536*Assumptions!$C$155*Assumptions!K$195</f>
        <v>0</v>
      </c>
      <c r="L541" s="62" t="n">
        <f aca="false">L536*Assumptions!$C$155*Assumptions!L$195</f>
        <v>0</v>
      </c>
      <c r="M541" s="62" t="n">
        <f aca="false">M536*Assumptions!$C$155*Assumptions!M$195</f>
        <v>0</v>
      </c>
      <c r="N541" s="62" t="n">
        <f aca="false">N536*Assumptions!$C$155*Assumptions!N$195</f>
        <v>0</v>
      </c>
      <c r="O541" s="62" t="n">
        <f aca="false">O536*Assumptions!$C$155*Assumptions!O$195</f>
        <v>3111.21561136927</v>
      </c>
      <c r="P541" s="62" t="n">
        <f aca="false">P536*Assumptions!$C$155*Assumptions!P$195</f>
        <v>4644.00482080772</v>
      </c>
      <c r="Q541" s="62" t="n">
        <f aca="false">Q536*Assumptions!$C$155*Assumptions!Q$195</f>
        <v>4906.64967834744</v>
      </c>
      <c r="R541" s="62" t="n">
        <f aca="false">R536*Assumptions!$C$155*Assumptions!R$195</f>
        <v>5057.84799681117</v>
      </c>
      <c r="S541" s="62" t="n">
        <f aca="false">S536*Assumptions!$C$155*Assumptions!S$195</f>
        <v>4463.26985894399</v>
      </c>
      <c r="T541" s="62" t="n">
        <f aca="false">T536*Assumptions!$C$155*Assumptions!T$195</f>
        <v>7628.25345639425</v>
      </c>
      <c r="U541" s="62" t="n">
        <f aca="false">U536*Assumptions!$C$155*Assumptions!U$195</f>
        <v>5814.02905946358</v>
      </c>
      <c r="V541" s="62" t="n">
        <f aca="false">V536*Assumptions!$C$155*Assumptions!V$195</f>
        <v>7875.81226923359</v>
      </c>
      <c r="W541" s="62" t="n">
        <f aca="false">W536*Assumptions!$C$155*Assumptions!W$195</f>
        <v>9701.86187901959</v>
      </c>
      <c r="X541" s="62" t="n">
        <f aca="false">X536*Assumptions!$C$155*Assumptions!X$195</f>
        <v>10105.5218442904</v>
      </c>
      <c r="Y541" s="62" t="n">
        <f aca="false">Y536*Assumptions!$C$155*Assumptions!Y$195</f>
        <v>13050.2170820199</v>
      </c>
      <c r="Z541" s="62" t="n">
        <f aca="false">Z536*Assumptions!$C$155*Assumptions!Z$195</f>
        <v>13790.1892112931</v>
      </c>
      <c r="AA541" s="62" t="n">
        <f aca="false">AA536*Assumptions!$C$155*Assumptions!AA$195</f>
        <v>15396.4278450631</v>
      </c>
      <c r="AB541" s="62" t="n">
        <f aca="false">AB536*Assumptions!$C$155*Assumptions!AB$195</f>
        <v>16651.0859920416</v>
      </c>
    </row>
    <row r="542" customFormat="false" ht="15" hidden="false" customHeight="false" outlineLevel="0" collapsed="false">
      <c r="A542" s="29" t="s">
        <v>843</v>
      </c>
      <c r="B542" s="60" t="s">
        <v>908</v>
      </c>
      <c r="C542" s="61" t="n">
        <f aca="false">SUM(E542:P542)</f>
        <v>7755.22043217699</v>
      </c>
      <c r="D542" s="61" t="n">
        <f aca="false">SUM(Q542:AB542)</f>
        <v>114441.166172922</v>
      </c>
      <c r="E542" s="71" t="n">
        <f aca="false">E541</f>
        <v>0</v>
      </c>
      <c r="F542" s="71" t="n">
        <f aca="false">F541</f>
        <v>0</v>
      </c>
      <c r="G542" s="71" t="n">
        <f aca="false">G541</f>
        <v>0</v>
      </c>
      <c r="H542" s="71" t="n">
        <f aca="false">H541</f>
        <v>0</v>
      </c>
      <c r="I542" s="71" t="n">
        <f aca="false">I541</f>
        <v>0</v>
      </c>
      <c r="J542" s="71" t="n">
        <f aca="false">J541</f>
        <v>0</v>
      </c>
      <c r="K542" s="71" t="n">
        <f aca="false">K541</f>
        <v>0</v>
      </c>
      <c r="L542" s="71" t="n">
        <f aca="false">L541</f>
        <v>0</v>
      </c>
      <c r="M542" s="71" t="n">
        <f aca="false">M541</f>
        <v>0</v>
      </c>
      <c r="N542" s="71" t="n">
        <f aca="false">N541</f>
        <v>0</v>
      </c>
      <c r="O542" s="71" t="n">
        <f aca="false">O541</f>
        <v>3111.21561136927</v>
      </c>
      <c r="P542" s="71" t="n">
        <f aca="false">P541</f>
        <v>4644.00482080772</v>
      </c>
      <c r="Q542" s="71" t="n">
        <f aca="false">Q541</f>
        <v>4906.64967834744</v>
      </c>
      <c r="R542" s="71" t="n">
        <f aca="false">R541</f>
        <v>5057.84799681117</v>
      </c>
      <c r="S542" s="71" t="n">
        <f aca="false">S541</f>
        <v>4463.26985894399</v>
      </c>
      <c r="T542" s="71" t="n">
        <f aca="false">T541</f>
        <v>7628.25345639425</v>
      </c>
      <c r="U542" s="71" t="n">
        <f aca="false">U541</f>
        <v>5814.02905946358</v>
      </c>
      <c r="V542" s="71" t="n">
        <f aca="false">V541</f>
        <v>7875.81226923359</v>
      </c>
      <c r="W542" s="71" t="n">
        <f aca="false">W541</f>
        <v>9701.86187901959</v>
      </c>
      <c r="X542" s="71" t="n">
        <f aca="false">X541</f>
        <v>10105.5218442904</v>
      </c>
      <c r="Y542" s="71" t="n">
        <f aca="false">Y541</f>
        <v>13050.2170820199</v>
      </c>
      <c r="Z542" s="71" t="n">
        <f aca="false">Z541</f>
        <v>13790.1892112931</v>
      </c>
      <c r="AA542" s="71" t="n">
        <f aca="false">AA541</f>
        <v>15396.4278450631</v>
      </c>
      <c r="AB542" s="71" t="n">
        <f aca="false">AB541</f>
        <v>16651.0859920416</v>
      </c>
    </row>
    <row r="543" customFormat="false" ht="15" hidden="false" customHeight="false" outlineLevel="0" collapsed="false">
      <c r="A543" s="29" t="s">
        <v>845</v>
      </c>
      <c r="B543" s="60" t="s">
        <v>909</v>
      </c>
      <c r="C543" s="61" t="n">
        <f aca="false">SUM(E543:P543)</f>
        <v>3111.21561136927</v>
      </c>
      <c r="D543" s="61" t="n">
        <f aca="false">SUM(Q543:AB543)</f>
        <v>102434.085001688</v>
      </c>
      <c r="E543" s="71" t="n">
        <f aca="false">0</f>
        <v>0</v>
      </c>
      <c r="F543" s="71" t="n">
        <f aca="false">E542</f>
        <v>0</v>
      </c>
      <c r="G543" s="71" t="n">
        <f aca="false">F542</f>
        <v>0</v>
      </c>
      <c r="H543" s="71" t="n">
        <f aca="false">G542</f>
        <v>0</v>
      </c>
      <c r="I543" s="71" t="n">
        <f aca="false">H542</f>
        <v>0</v>
      </c>
      <c r="J543" s="71" t="n">
        <f aca="false">I542</f>
        <v>0</v>
      </c>
      <c r="K543" s="71" t="n">
        <f aca="false">J542</f>
        <v>0</v>
      </c>
      <c r="L543" s="71" t="n">
        <f aca="false">K542</f>
        <v>0</v>
      </c>
      <c r="M543" s="71" t="n">
        <f aca="false">L542</f>
        <v>0</v>
      </c>
      <c r="N543" s="71" t="n">
        <f aca="false">M542</f>
        <v>0</v>
      </c>
      <c r="O543" s="71" t="n">
        <f aca="false">N542</f>
        <v>0</v>
      </c>
      <c r="P543" s="71" t="n">
        <f aca="false">O542</f>
        <v>3111.21561136927</v>
      </c>
      <c r="Q543" s="71" t="n">
        <f aca="false">P542</f>
        <v>4644.00482080772</v>
      </c>
      <c r="R543" s="71" t="n">
        <f aca="false">Q542</f>
        <v>4906.64967834744</v>
      </c>
      <c r="S543" s="71" t="n">
        <f aca="false">R542</f>
        <v>5057.84799681117</v>
      </c>
      <c r="T543" s="71" t="n">
        <f aca="false">S542</f>
        <v>4463.26985894399</v>
      </c>
      <c r="U543" s="71" t="n">
        <f aca="false">T542</f>
        <v>7628.25345639425</v>
      </c>
      <c r="V543" s="71" t="n">
        <f aca="false">U542</f>
        <v>5814.02905946358</v>
      </c>
      <c r="W543" s="71" t="n">
        <f aca="false">V542</f>
        <v>7875.81226923359</v>
      </c>
      <c r="X543" s="71" t="n">
        <f aca="false">W542</f>
        <v>9701.86187901959</v>
      </c>
      <c r="Y543" s="71" t="n">
        <f aca="false">X542</f>
        <v>10105.5218442904</v>
      </c>
      <c r="Z543" s="71" t="n">
        <f aca="false">Y542</f>
        <v>13050.2170820199</v>
      </c>
      <c r="AA543" s="71" t="n">
        <f aca="false">Z542</f>
        <v>13790.1892112931</v>
      </c>
      <c r="AB543" s="71" t="n">
        <f aca="false">AA542</f>
        <v>15396.4278450631</v>
      </c>
    </row>
    <row r="544" customFormat="false" ht="15" hidden="false" customHeight="false" outlineLevel="0" collapsed="false">
      <c r="A544" s="29" t="s">
        <v>910</v>
      </c>
      <c r="B544" s="60" t="s">
        <v>848</v>
      </c>
      <c r="C544" s="61" t="n">
        <f aca="false">P544</f>
        <v>79497.4820843326</v>
      </c>
      <c r="D544" s="61" t="n">
        <f aca="false">AB544</f>
        <v>282615.232252022</v>
      </c>
      <c r="E544" s="71" t="n">
        <f aca="false">0+E539+E542-E540-E543</f>
        <v>0</v>
      </c>
      <c r="F544" s="71" t="n">
        <f aca="false">E544+F539+F542-F540-F543</f>
        <v>0</v>
      </c>
      <c r="G544" s="71" t="n">
        <f aca="false">F544+G539+G542-G540-G543</f>
        <v>0</v>
      </c>
      <c r="H544" s="71" t="n">
        <f aca="false">G544+H539+H542-H540-H543</f>
        <v>0</v>
      </c>
      <c r="I544" s="71" t="n">
        <f aca="false">H544+I539+I542-I540-I543</f>
        <v>0</v>
      </c>
      <c r="J544" s="71" t="n">
        <f aca="false">I544+J539+J542-J540-J543</f>
        <v>0</v>
      </c>
      <c r="K544" s="71" t="n">
        <f aca="false">J544+K539+K542-K540-K543</f>
        <v>0</v>
      </c>
      <c r="L544" s="71" t="n">
        <f aca="false">K544+L539+L542-L540-L543</f>
        <v>0</v>
      </c>
      <c r="M544" s="71" t="n">
        <f aca="false">L544+M539+M542-M540-M543</f>
        <v>0</v>
      </c>
      <c r="N544" s="71" t="n">
        <f aca="false">M544+N539+N542-N540-N543</f>
        <v>0</v>
      </c>
      <c r="O544" s="71" t="n">
        <f aca="false">N544+O539+O542-O540-O543</f>
        <v>52543.9419684845</v>
      </c>
      <c r="P544" s="71" t="n">
        <f aca="false">O544+P539+P542-P540-P543</f>
        <v>79497.4820843326</v>
      </c>
      <c r="Q544" s="71" t="n">
        <f aca="false">P544+Q539+Q542-Q540-Q543</f>
        <v>87385.8351293717</v>
      </c>
      <c r="R544" s="71" t="n">
        <f aca="false">Q544+R539+R542-R540-R543</f>
        <v>90064.1744165073</v>
      </c>
      <c r="S544" s="71" t="n">
        <f aca="false">R544+S539+S542-S540-S543</f>
        <v>80290.1626561361</v>
      </c>
      <c r="T544" s="71" t="n">
        <f aca="false">S544+T539+T542-T540-T543</f>
        <v>134121.713245483</v>
      </c>
      <c r="U544" s="71" t="n">
        <f aca="false">T544+U539+U542-U540-U543</f>
        <v>102223.878762611</v>
      </c>
      <c r="V544" s="71" t="n">
        <f aca="false">U544+V539+V542-V540-V543</f>
        <v>138474.930618619</v>
      </c>
      <c r="W544" s="71" t="n">
        <f aca="false">V544+W539+W542-W540-W543</f>
        <v>169263.002408854</v>
      </c>
      <c r="X544" s="71" t="n">
        <f aca="false">W544+X539+X542-X540-X543</f>
        <v>175500.684496218</v>
      </c>
      <c r="Y544" s="71" t="n">
        <f aca="false">X544+Y539+Y542-Y540-Y543</f>
        <v>221403.333380346</v>
      </c>
      <c r="Z544" s="71" t="n">
        <f aca="false">Y544+Z539+Z542-Z540-Z543</f>
        <v>233975.519539051</v>
      </c>
      <c r="AA544" s="71" t="n">
        <f aca="false">Z544+AA539+AA542-AA540-AA543</f>
        <v>261264.560394435</v>
      </c>
      <c r="AB544" s="71" t="n">
        <f aca="false">AA544+AB539+AB542-AB540-AB543</f>
        <v>282615.232252022</v>
      </c>
    </row>
    <row r="546" customFormat="false" ht="15" hidden="false" customHeight="false" outlineLevel="0" collapsed="false">
      <c r="A546" s="23" t="s">
        <v>911</v>
      </c>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row>
    <row r="547" customFormat="false" ht="15" hidden="false" customHeight="false" outlineLevel="0" collapsed="false">
      <c r="A547" s="29" t="s">
        <v>901</v>
      </c>
      <c r="B547" s="60" t="s">
        <v>902</v>
      </c>
      <c r="C547" s="66" t="n">
        <f aca="false">SUM(E547:P547)</f>
        <v>126.529117658991</v>
      </c>
      <c r="D547" s="66" t="n">
        <f aca="false">SUM(Q547:AB547)</f>
        <v>7895.18432960066</v>
      </c>
      <c r="E547" s="67" t="n">
        <f aca="false">Capacity!E54+Capacity!E61+Capacity!E68+Capacity!E75+Capacity!E82</f>
        <v>0</v>
      </c>
      <c r="F547" s="67" t="n">
        <f aca="false">Capacity!F54+Capacity!F61+Capacity!F68+Capacity!F75+Capacity!F82</f>
        <v>0</v>
      </c>
      <c r="G547" s="67" t="n">
        <f aca="false">Capacity!G54+Capacity!G61+Capacity!G68+Capacity!G75+Capacity!G82</f>
        <v>0</v>
      </c>
      <c r="H547" s="67" t="n">
        <f aca="false">Capacity!H54+Capacity!H61+Capacity!H68+Capacity!H75+Capacity!H82</f>
        <v>0</v>
      </c>
      <c r="I547" s="67" t="n">
        <f aca="false">Capacity!I54+Capacity!I61+Capacity!I68+Capacity!I75+Capacity!I82</f>
        <v>0</v>
      </c>
      <c r="J547" s="67" t="n">
        <f aca="false">Capacity!J54+Capacity!J61+Capacity!J68+Capacity!J75+Capacity!J82</f>
        <v>0</v>
      </c>
      <c r="K547" s="67" t="n">
        <f aca="false">Capacity!K54+Capacity!K61+Capacity!K68+Capacity!K75+Capacity!K82</f>
        <v>0</v>
      </c>
      <c r="L547" s="67" t="n">
        <f aca="false">Capacity!L54+Capacity!L61+Capacity!L68+Capacity!L75+Capacity!L82</f>
        <v>0</v>
      </c>
      <c r="M547" s="67" t="n">
        <f aca="false">Capacity!M54+Capacity!M61+Capacity!M68+Capacity!M75+Capacity!M82</f>
        <v>0</v>
      </c>
      <c r="N547" s="67" t="n">
        <f aca="false">Capacity!N54+Capacity!N61+Capacity!N68+Capacity!N75+Capacity!N82</f>
        <v>0</v>
      </c>
      <c r="O547" s="67" t="n">
        <f aca="false">Capacity!O54+Capacity!O61+Capacity!O68+Capacity!O75+Capacity!O82</f>
        <v>123.206937614774</v>
      </c>
      <c r="P547" s="67" t="n">
        <f aca="false">Capacity!P54+Capacity!P61+Capacity!P68+Capacity!P75+Capacity!P82</f>
        <v>3.32218004421711</v>
      </c>
      <c r="Q547" s="67" t="n">
        <f aca="false">Capacity!Q54+Capacity!Q61+Capacity!Q68+Capacity!Q75+Capacity!Q82</f>
        <v>20.0474412191511</v>
      </c>
      <c r="R547" s="67" t="n">
        <f aca="false">Capacity!R54+Capacity!R61+Capacity!R68+Capacity!R75+Capacity!R82</f>
        <v>0</v>
      </c>
      <c r="S547" s="67" t="n">
        <f aca="false">Capacity!S54+Capacity!S61+Capacity!S68+Capacity!S75+Capacity!S82</f>
        <v>301.49376294614</v>
      </c>
      <c r="T547" s="67" t="n">
        <f aca="false">Capacity!T54+Capacity!T61+Capacity!T68+Capacity!T75+Capacity!T82</f>
        <v>431.667801859827</v>
      </c>
      <c r="U547" s="67" t="n">
        <f aca="false">Capacity!U54+Capacity!U61+Capacity!U68+Capacity!U75+Capacity!U82</f>
        <v>470.888893364299</v>
      </c>
      <c r="V547" s="67" t="n">
        <f aca="false">Capacity!V54+Capacity!V61+Capacity!V68+Capacity!V75+Capacity!V82</f>
        <v>800.48629759059</v>
      </c>
      <c r="W547" s="67" t="n">
        <f aca="false">Capacity!W54+Capacity!W61+Capacity!W68+Capacity!W75+Capacity!W82</f>
        <v>855.417837739056</v>
      </c>
      <c r="X547" s="67" t="n">
        <f aca="false">Capacity!X54+Capacity!X61+Capacity!X68+Capacity!X75+Capacity!X82</f>
        <v>828.252120966313</v>
      </c>
      <c r="Y547" s="67" t="n">
        <f aca="false">Capacity!Y54+Capacity!Y61+Capacity!Y68+Capacity!Y75+Capacity!Y82</f>
        <v>1076.75573163759</v>
      </c>
      <c r="Z547" s="67" t="n">
        <f aca="false">Capacity!Z54+Capacity!Z61+Capacity!Z68+Capacity!Z75+Capacity!Z82</f>
        <v>979.777249453529</v>
      </c>
      <c r="AA547" s="67" t="n">
        <f aca="false">Capacity!AA54+Capacity!AA61+Capacity!AA68+Capacity!AA75+Capacity!AA82</f>
        <v>1023.64550509875</v>
      </c>
      <c r="AB547" s="67" t="n">
        <f aca="false">Capacity!AB54+Capacity!AB61+Capacity!AB68+Capacity!AB75+Capacity!AB82</f>
        <v>1106.75168772541</v>
      </c>
    </row>
    <row r="548" customFormat="false" ht="15" hidden="false" customHeight="false" outlineLevel="0" collapsed="false">
      <c r="A548" s="29" t="s">
        <v>833</v>
      </c>
      <c r="B548" s="60" t="s">
        <v>903</v>
      </c>
      <c r="C548" s="61" t="n">
        <f aca="false">SUM(E548:P548)</f>
        <v>31233.0388549013</v>
      </c>
      <c r="D548" s="61" t="n">
        <f aca="false">SUM(Q548:AB548)</f>
        <v>1648008.64419365</v>
      </c>
      <c r="E548" s="62" t="n">
        <f aca="false">(Capacity!E54*Assumptions!$C$64+Capacity!E61*Assumptions!$C$65+Capacity!E68*Assumptions!$C$66+Capacity!E75*Assumptions!$C$67+Capacity!E82*Assumptions!$C$68)*Assumptions!E$194</f>
        <v>0</v>
      </c>
      <c r="F548" s="62" t="n">
        <f aca="false">(Capacity!F54*Assumptions!$C$64+Capacity!F61*Assumptions!$C$65+Capacity!F68*Assumptions!$C$66+Capacity!F75*Assumptions!$C$67+Capacity!F82*Assumptions!$C$68)*Assumptions!F$194</f>
        <v>0</v>
      </c>
      <c r="G548" s="62" t="n">
        <f aca="false">(Capacity!G54*Assumptions!$C$64+Capacity!G61*Assumptions!$C$65+Capacity!G68*Assumptions!$C$66+Capacity!G75*Assumptions!$C$67+Capacity!G82*Assumptions!$C$68)*Assumptions!G$194</f>
        <v>0</v>
      </c>
      <c r="H548" s="62" t="n">
        <f aca="false">(Capacity!H54*Assumptions!$C$64+Capacity!H61*Assumptions!$C$65+Capacity!H68*Assumptions!$C$66+Capacity!H75*Assumptions!$C$67+Capacity!H82*Assumptions!$C$68)*Assumptions!H$194</f>
        <v>0</v>
      </c>
      <c r="I548" s="62" t="n">
        <f aca="false">(Capacity!I54*Assumptions!$C$64+Capacity!I61*Assumptions!$C$65+Capacity!I68*Assumptions!$C$66+Capacity!I75*Assumptions!$C$67+Capacity!I82*Assumptions!$C$68)*Assumptions!I$194</f>
        <v>0</v>
      </c>
      <c r="J548" s="62" t="n">
        <f aca="false">(Capacity!J54*Assumptions!$C$64+Capacity!J61*Assumptions!$C$65+Capacity!J68*Assumptions!$C$66+Capacity!J75*Assumptions!$C$67+Capacity!J82*Assumptions!$C$68)*Assumptions!J$194</f>
        <v>0</v>
      </c>
      <c r="K548" s="62" t="n">
        <f aca="false">(Capacity!K54*Assumptions!$C$64+Capacity!K61*Assumptions!$C$65+Capacity!K68*Assumptions!$C$66+Capacity!K75*Assumptions!$C$67+Capacity!K82*Assumptions!$C$68)*Assumptions!K$194</f>
        <v>0</v>
      </c>
      <c r="L548" s="62" t="n">
        <f aca="false">(Capacity!L54*Assumptions!$C$64+Capacity!L61*Assumptions!$C$65+Capacity!L68*Assumptions!$C$66+Capacity!L75*Assumptions!$C$67+Capacity!L82*Assumptions!$C$68)*Assumptions!L$194</f>
        <v>0</v>
      </c>
      <c r="M548" s="62" t="n">
        <f aca="false">(Capacity!M54*Assumptions!$C$64+Capacity!M61*Assumptions!$C$65+Capacity!M68*Assumptions!$C$66+Capacity!M75*Assumptions!$C$67+Capacity!M82*Assumptions!$C$68)*Assumptions!M$194</f>
        <v>0</v>
      </c>
      <c r="N548" s="62" t="n">
        <f aca="false">(Capacity!N54*Assumptions!$C$64+Capacity!N61*Assumptions!$C$65+Capacity!N68*Assumptions!$C$66+Capacity!N75*Assumptions!$C$67+Capacity!N82*Assumptions!$C$68)*Assumptions!N$194</f>
        <v>0</v>
      </c>
      <c r="O548" s="62" t="n">
        <f aca="false">(Capacity!O54*Assumptions!$C$64+Capacity!O61*Assumptions!$C$65+Capacity!O68*Assumptions!$C$66+Capacity!O75*Assumptions!$C$67+Capacity!O82*Assumptions!$C$68)*Assumptions!O$194</f>
        <v>30236.3848416361</v>
      </c>
      <c r="P548" s="62" t="n">
        <f aca="false">(Capacity!P54*Assumptions!$C$64+Capacity!P61*Assumptions!$C$65+Capacity!P68*Assumptions!$C$66+Capacity!P75*Assumptions!$C$67+Capacity!P82*Assumptions!$C$68)*Assumptions!P$194</f>
        <v>996.654013265134</v>
      </c>
      <c r="Q548" s="62" t="n">
        <f aca="false">(Capacity!Q54*Assumptions!$C$64+Capacity!Q61*Assumptions!$C$65+Capacity!Q68*Assumptions!$C$66+Capacity!Q75*Assumptions!$C$67+Capacity!Q82*Assumptions!$C$68)*Assumptions!Q$194</f>
        <v>3961.37438490425</v>
      </c>
      <c r="R548" s="62" t="n">
        <f aca="false">(Capacity!R54*Assumptions!$C$64+Capacity!R61*Assumptions!$C$65+Capacity!R68*Assumptions!$C$66+Capacity!R75*Assumptions!$C$67+Capacity!R82*Assumptions!$C$68)*Assumptions!R$194</f>
        <v>0</v>
      </c>
      <c r="S548" s="62" t="n">
        <f aca="false">(Capacity!S54*Assumptions!$C$64+Capacity!S61*Assumptions!$C$65+Capacity!S68*Assumptions!$C$66+Capacity!S75*Assumptions!$C$67+Capacity!S82*Assumptions!$C$68)*Assumptions!S$194</f>
        <v>65943.8881772277</v>
      </c>
      <c r="T548" s="62" t="n">
        <f aca="false">(Capacity!T54*Assumptions!$C$64+Capacity!T61*Assumptions!$C$65+Capacity!T68*Assumptions!$C$66+Capacity!T75*Assumptions!$C$67+Capacity!T82*Assumptions!$C$68)*Assumptions!T$194</f>
        <v>93986.748431238</v>
      </c>
      <c r="U548" s="62" t="n">
        <f aca="false">(Capacity!U54*Assumptions!$C$64+Capacity!U61*Assumptions!$C$65+Capacity!U68*Assumptions!$C$66+Capacity!U75*Assumptions!$C$67+Capacity!U82*Assumptions!$C$68)*Assumptions!U$194</f>
        <v>100658.67264906</v>
      </c>
      <c r="V548" s="62" t="n">
        <f aca="false">(Capacity!V54*Assumptions!$C$64+Capacity!V61*Assumptions!$C$65+Capacity!V68*Assumptions!$C$66+Capacity!V75*Assumptions!$C$67+Capacity!V82*Assumptions!$C$68)*Assumptions!V$194</f>
        <v>169618.956650778</v>
      </c>
      <c r="W548" s="62" t="n">
        <f aca="false">(Capacity!W54*Assumptions!$C$64+Capacity!W61*Assumptions!$C$65+Capacity!W68*Assumptions!$C$66+Capacity!W75*Assumptions!$C$67+Capacity!W82*Assumptions!$C$68)*Assumptions!W$194</f>
        <v>180671.850775756</v>
      </c>
      <c r="X548" s="62" t="n">
        <f aca="false">(Capacity!X54*Assumptions!$C$64+Capacity!X61*Assumptions!$C$65+Capacity!X68*Assumptions!$C$66+Capacity!X75*Assumptions!$C$67+Capacity!X82*Assumptions!$C$68)*Assumptions!X$194</f>
        <v>174408.36743942</v>
      </c>
      <c r="Y548" s="62" t="n">
        <f aca="false">(Capacity!Y54*Assumptions!$C$64+Capacity!Y61*Assumptions!$C$65+Capacity!Y68*Assumptions!$C$66+Capacity!Y75*Assumptions!$C$67+Capacity!Y82*Assumptions!$C$68)*Assumptions!Y$194</f>
        <v>220745.22033624</v>
      </c>
      <c r="Z548" s="62" t="n">
        <f aca="false">(Capacity!Z54*Assumptions!$C$64+Capacity!Z61*Assumptions!$C$65+Capacity!Z68*Assumptions!$C$66+Capacity!Z75*Assumptions!$C$67+Capacity!Z82*Assumptions!$C$68)*Assumptions!Z$194</f>
        <v>200925.582280333</v>
      </c>
      <c r="AA548" s="62" t="n">
        <f aca="false">(Capacity!AA54*Assumptions!$C$64+Capacity!AA61*Assumptions!$C$65+Capacity!AA68*Assumptions!$C$66+Capacity!AA75*Assumptions!$C$67+Capacity!AA82*Assumptions!$C$68)*Assumptions!AA$194</f>
        <v>209985.751795823</v>
      </c>
      <c r="AB548" s="62" t="n">
        <f aca="false">(Capacity!AB54*Assumptions!$C$64+Capacity!AB61*Assumptions!$C$65+Capacity!AB68*Assumptions!$C$66+Capacity!AB75*Assumptions!$C$67+Capacity!AB82*Assumptions!$C$68)*Assumptions!AB$194</f>
        <v>227102.231272873</v>
      </c>
    </row>
    <row r="549" customFormat="false" ht="15" hidden="false" customHeight="false" outlineLevel="0" collapsed="false">
      <c r="A549" s="29" t="s">
        <v>835</v>
      </c>
      <c r="B549" s="60" t="s">
        <v>904</v>
      </c>
      <c r="C549" s="61" t="n">
        <f aca="false">SUM(E549:P549)</f>
        <v>28734.3957465091</v>
      </c>
      <c r="D549" s="61" t="n">
        <f aca="false">SUM(Q549:AB549)</f>
        <v>1516167.95265816</v>
      </c>
      <c r="E549" s="62" t="n">
        <f aca="false">E548*(1-Assumptions!$C$153)</f>
        <v>0</v>
      </c>
      <c r="F549" s="62" t="n">
        <f aca="false">F548*(1-Assumptions!$C$153)</f>
        <v>0</v>
      </c>
      <c r="G549" s="62" t="n">
        <f aca="false">G548*(1-Assumptions!$C$153)</f>
        <v>0</v>
      </c>
      <c r="H549" s="62" t="n">
        <f aca="false">H548*(1-Assumptions!$C$153)</f>
        <v>0</v>
      </c>
      <c r="I549" s="62" t="n">
        <f aca="false">I548*(1-Assumptions!$C$153)</f>
        <v>0</v>
      </c>
      <c r="J549" s="62" t="n">
        <f aca="false">J548*(1-Assumptions!$C$153)</f>
        <v>0</v>
      </c>
      <c r="K549" s="62" t="n">
        <f aca="false">K548*(1-Assumptions!$C$153)</f>
        <v>0</v>
      </c>
      <c r="L549" s="62" t="n">
        <f aca="false">L548*(1-Assumptions!$C$153)</f>
        <v>0</v>
      </c>
      <c r="M549" s="62" t="n">
        <f aca="false">M548*(1-Assumptions!$C$153)</f>
        <v>0</v>
      </c>
      <c r="N549" s="62" t="n">
        <f aca="false">N548*(1-Assumptions!$C$153)</f>
        <v>0</v>
      </c>
      <c r="O549" s="62" t="n">
        <f aca="false">O548*(1-Assumptions!$C$153)</f>
        <v>27817.4740543052</v>
      </c>
      <c r="P549" s="62" t="n">
        <f aca="false">P548*(1-Assumptions!$C$153)</f>
        <v>916.921692203923</v>
      </c>
      <c r="Q549" s="62" t="n">
        <f aca="false">Q548*(1-Assumptions!$C$153)</f>
        <v>3644.46443411191</v>
      </c>
      <c r="R549" s="62" t="n">
        <f aca="false">R548*(1-Assumptions!$C$153)</f>
        <v>0</v>
      </c>
      <c r="S549" s="62" t="n">
        <f aca="false">S548*(1-Assumptions!$C$153)</f>
        <v>60668.3771230495</v>
      </c>
      <c r="T549" s="62" t="n">
        <f aca="false">T548*(1-Assumptions!$C$153)</f>
        <v>86467.8085567389</v>
      </c>
      <c r="U549" s="62" t="n">
        <f aca="false">U548*(1-Assumptions!$C$153)</f>
        <v>92605.9788371353</v>
      </c>
      <c r="V549" s="62" t="n">
        <f aca="false">V548*(1-Assumptions!$C$153)</f>
        <v>156049.440118715</v>
      </c>
      <c r="W549" s="62" t="n">
        <f aca="false">W548*(1-Assumptions!$C$153)</f>
        <v>166218.102713695</v>
      </c>
      <c r="X549" s="62" t="n">
        <f aca="false">X548*(1-Assumptions!$C$153)</f>
        <v>160455.698044266</v>
      </c>
      <c r="Y549" s="62" t="n">
        <f aca="false">Y548*(1-Assumptions!$C$153)</f>
        <v>203085.602709341</v>
      </c>
      <c r="Z549" s="62" t="n">
        <f aca="false">Z548*(1-Assumptions!$C$153)</f>
        <v>184851.535697906</v>
      </c>
      <c r="AA549" s="62" t="n">
        <f aca="false">AA548*(1-Assumptions!$C$153)</f>
        <v>193186.891652157</v>
      </c>
      <c r="AB549" s="62" t="n">
        <f aca="false">AB548*(1-Assumptions!$C$153)</f>
        <v>208934.052771043</v>
      </c>
    </row>
    <row r="550" customFormat="false" ht="15" hidden="false" customHeight="false" outlineLevel="0" collapsed="false">
      <c r="A550" s="68" t="s">
        <v>349</v>
      </c>
      <c r="B550" s="69" t="s">
        <v>905</v>
      </c>
      <c r="C550" s="70" t="n">
        <f aca="false">SUM(E550:P550)</f>
        <v>27585.0199166488</v>
      </c>
      <c r="D550" s="70" t="n">
        <f aca="false">SUM(Q550:AB550)</f>
        <v>1455521.23455183</v>
      </c>
      <c r="E550" s="74" t="n">
        <f aca="false">E549*(1-Assumptions!$C$154)</f>
        <v>0</v>
      </c>
      <c r="F550" s="74" t="n">
        <f aca="false">F549*(1-Assumptions!$C$154)</f>
        <v>0</v>
      </c>
      <c r="G550" s="74" t="n">
        <f aca="false">G549*(1-Assumptions!$C$154)</f>
        <v>0</v>
      </c>
      <c r="H550" s="74" t="n">
        <f aca="false">H549*(1-Assumptions!$C$154)</f>
        <v>0</v>
      </c>
      <c r="I550" s="74" t="n">
        <f aca="false">I549*(1-Assumptions!$C$154)</f>
        <v>0</v>
      </c>
      <c r="J550" s="74" t="n">
        <f aca="false">J549*(1-Assumptions!$C$154)</f>
        <v>0</v>
      </c>
      <c r="K550" s="74" t="n">
        <f aca="false">K549*(1-Assumptions!$C$154)</f>
        <v>0</v>
      </c>
      <c r="L550" s="74" t="n">
        <f aca="false">L549*(1-Assumptions!$C$154)</f>
        <v>0</v>
      </c>
      <c r="M550" s="74" t="n">
        <f aca="false">M549*(1-Assumptions!$C$154)</f>
        <v>0</v>
      </c>
      <c r="N550" s="74" t="n">
        <f aca="false">N549*(1-Assumptions!$C$154)</f>
        <v>0</v>
      </c>
      <c r="O550" s="74" t="n">
        <f aca="false">O549*(1-Assumptions!$C$154)</f>
        <v>26704.775092133</v>
      </c>
      <c r="P550" s="74" t="n">
        <f aca="false">P549*(1-Assumptions!$C$154)</f>
        <v>880.244824515766</v>
      </c>
      <c r="Q550" s="74" t="n">
        <f aca="false">Q549*(1-Assumptions!$C$154)</f>
        <v>3498.68585674743</v>
      </c>
      <c r="R550" s="74" t="n">
        <f aca="false">R549*(1-Assumptions!$C$154)</f>
        <v>0</v>
      </c>
      <c r="S550" s="74" t="n">
        <f aca="false">S549*(1-Assumptions!$C$154)</f>
        <v>58241.6420381275</v>
      </c>
      <c r="T550" s="74" t="n">
        <f aca="false">T549*(1-Assumptions!$C$154)</f>
        <v>83009.0962144694</v>
      </c>
      <c r="U550" s="74" t="n">
        <f aca="false">U549*(1-Assumptions!$C$154)</f>
        <v>88901.7396836499</v>
      </c>
      <c r="V550" s="74" t="n">
        <f aca="false">V549*(1-Assumptions!$C$154)</f>
        <v>149807.462513967</v>
      </c>
      <c r="W550" s="74" t="n">
        <f aca="false">W549*(1-Assumptions!$C$154)</f>
        <v>159569.378605148</v>
      </c>
      <c r="X550" s="74" t="n">
        <f aca="false">X549*(1-Assumptions!$C$154)</f>
        <v>154037.470122496</v>
      </c>
      <c r="Y550" s="74" t="n">
        <f aca="false">Y549*(1-Assumptions!$C$154)</f>
        <v>194962.178600967</v>
      </c>
      <c r="Z550" s="74" t="n">
        <f aca="false">Z549*(1-Assumptions!$C$154)</f>
        <v>177457.47426999</v>
      </c>
      <c r="AA550" s="74" t="n">
        <f aca="false">AA549*(1-Assumptions!$C$154)</f>
        <v>185459.415986071</v>
      </c>
      <c r="AB550" s="74" t="n">
        <f aca="false">AB549*(1-Assumptions!$C$154)</f>
        <v>200576.690660201</v>
      </c>
    </row>
    <row r="551" customFormat="false" ht="15" hidden="false" customHeight="false" outlineLevel="0" collapsed="false">
      <c r="A551" s="29" t="s">
        <v>838</v>
      </c>
      <c r="B551" s="60" t="s">
        <v>906</v>
      </c>
      <c r="C551" s="61" t="n">
        <f aca="false">SUM(E551:P551)</f>
        <v>26704.775092133</v>
      </c>
      <c r="D551" s="61" t="n">
        <f aca="false">SUM(Q551:AB551)</f>
        <v>1255824.78871615</v>
      </c>
      <c r="E551" s="71" t="n">
        <f aca="false">0</f>
        <v>0</v>
      </c>
      <c r="F551" s="71" t="n">
        <f aca="false">E550</f>
        <v>0</v>
      </c>
      <c r="G551" s="71" t="n">
        <f aca="false">F550</f>
        <v>0</v>
      </c>
      <c r="H551" s="71" t="n">
        <f aca="false">G550</f>
        <v>0</v>
      </c>
      <c r="I551" s="71" t="n">
        <f aca="false">H550</f>
        <v>0</v>
      </c>
      <c r="J551" s="71" t="n">
        <f aca="false">I550</f>
        <v>0</v>
      </c>
      <c r="K551" s="71" t="n">
        <f aca="false">J550</f>
        <v>0</v>
      </c>
      <c r="L551" s="71" t="n">
        <f aca="false">K550</f>
        <v>0</v>
      </c>
      <c r="M551" s="71" t="n">
        <f aca="false">L550</f>
        <v>0</v>
      </c>
      <c r="N551" s="71" t="n">
        <f aca="false">M550</f>
        <v>0</v>
      </c>
      <c r="O551" s="71" t="n">
        <f aca="false">N550</f>
        <v>0</v>
      </c>
      <c r="P551" s="71" t="n">
        <f aca="false">O550</f>
        <v>26704.775092133</v>
      </c>
      <c r="Q551" s="71" t="n">
        <f aca="false">P550</f>
        <v>880.244824515766</v>
      </c>
      <c r="R551" s="71" t="n">
        <f aca="false">Q550</f>
        <v>3498.68585674743</v>
      </c>
      <c r="S551" s="71" t="n">
        <f aca="false">R550</f>
        <v>0</v>
      </c>
      <c r="T551" s="71" t="n">
        <f aca="false">S550</f>
        <v>58241.6420381275</v>
      </c>
      <c r="U551" s="71" t="n">
        <f aca="false">T550</f>
        <v>83009.0962144694</v>
      </c>
      <c r="V551" s="71" t="n">
        <f aca="false">U550</f>
        <v>88901.7396836499</v>
      </c>
      <c r="W551" s="71" t="n">
        <f aca="false">V550</f>
        <v>149807.462513967</v>
      </c>
      <c r="X551" s="71" t="n">
        <f aca="false">W550</f>
        <v>159569.378605148</v>
      </c>
      <c r="Y551" s="71" t="n">
        <f aca="false">X550</f>
        <v>154037.470122496</v>
      </c>
      <c r="Z551" s="71" t="n">
        <f aca="false">Y550</f>
        <v>194962.178600967</v>
      </c>
      <c r="AA551" s="71" t="n">
        <f aca="false">Z550</f>
        <v>177457.47426999</v>
      </c>
      <c r="AB551" s="71" t="n">
        <f aca="false">AA550</f>
        <v>185459.415986071</v>
      </c>
    </row>
    <row r="552" customFormat="false" ht="15" hidden="false" customHeight="false" outlineLevel="0" collapsed="false">
      <c r="A552" s="29" t="s">
        <v>841</v>
      </c>
      <c r="B552" s="60" t="s">
        <v>907</v>
      </c>
      <c r="C552" s="61" t="n">
        <f aca="false">SUM(E552:P552)</f>
        <v>1391.82029424891</v>
      </c>
      <c r="D552" s="61" t="n">
        <f aca="false">SUM(Q552:AB552)</f>
        <v>89452.4384543754</v>
      </c>
      <c r="E552" s="62" t="n">
        <f aca="false">E547*Assumptions!$C$155*Assumptions!E$195</f>
        <v>0</v>
      </c>
      <c r="F552" s="62" t="n">
        <f aca="false">F547*Assumptions!$C$155*Assumptions!F$195</f>
        <v>0</v>
      </c>
      <c r="G552" s="62" t="n">
        <f aca="false">G547*Assumptions!$C$155*Assumptions!G$195</f>
        <v>0</v>
      </c>
      <c r="H552" s="62" t="n">
        <f aca="false">H547*Assumptions!$C$155*Assumptions!H$195</f>
        <v>0</v>
      </c>
      <c r="I552" s="62" t="n">
        <f aca="false">I547*Assumptions!$C$155*Assumptions!I$195</f>
        <v>0</v>
      </c>
      <c r="J552" s="62" t="n">
        <f aca="false">J547*Assumptions!$C$155*Assumptions!J$195</f>
        <v>0</v>
      </c>
      <c r="K552" s="62" t="n">
        <f aca="false">K547*Assumptions!$C$155*Assumptions!K$195</f>
        <v>0</v>
      </c>
      <c r="L552" s="62" t="n">
        <f aca="false">L547*Assumptions!$C$155*Assumptions!L$195</f>
        <v>0</v>
      </c>
      <c r="M552" s="62" t="n">
        <f aca="false">M547*Assumptions!$C$155*Assumptions!M$195</f>
        <v>0</v>
      </c>
      <c r="N552" s="62" t="n">
        <f aca="false">N547*Assumptions!$C$155*Assumptions!N$195</f>
        <v>0</v>
      </c>
      <c r="O552" s="62" t="n">
        <f aca="false">O547*Assumptions!$C$155*Assumptions!O$195</f>
        <v>1355.27631376252</v>
      </c>
      <c r="P552" s="62" t="n">
        <f aca="false">P547*Assumptions!$C$155*Assumptions!P$195</f>
        <v>36.5439804863882</v>
      </c>
      <c r="Q552" s="62" t="n">
        <f aca="false">Q547*Assumptions!$C$155*Assumptions!Q$195</f>
        <v>227.137509012981</v>
      </c>
      <c r="R552" s="62" t="n">
        <f aca="false">R547*Assumptions!$C$155*Assumptions!R$195</f>
        <v>0</v>
      </c>
      <c r="S552" s="62" t="n">
        <f aca="false">S547*Assumptions!$C$155*Assumptions!S$195</f>
        <v>3415.92433417977</v>
      </c>
      <c r="T552" s="62" t="n">
        <f aca="false">T547*Assumptions!$C$155*Assumptions!T$195</f>
        <v>4890.79619507184</v>
      </c>
      <c r="U552" s="62" t="n">
        <f aca="false">U547*Assumptions!$C$155*Assumptions!U$195</f>
        <v>5335.17116181751</v>
      </c>
      <c r="V552" s="62" t="n">
        <f aca="false">V547*Assumptions!$C$155*Assumptions!V$195</f>
        <v>9069.50975170139</v>
      </c>
      <c r="W552" s="62" t="n">
        <f aca="false">W547*Assumptions!$C$155*Assumptions!W$195</f>
        <v>9691.8841015835</v>
      </c>
      <c r="X552" s="62" t="n">
        <f aca="false">X547*Assumptions!$C$155*Assumptions!X$195</f>
        <v>9384.09653054832</v>
      </c>
      <c r="Y552" s="62" t="n">
        <f aca="false">Y547*Assumptions!$C$155*Assumptions!Y$195</f>
        <v>12199.6424394539</v>
      </c>
      <c r="Z552" s="62" t="n">
        <f aca="false">Z547*Assumptions!$C$155*Assumptions!Z$195</f>
        <v>11100.8762363085</v>
      </c>
      <c r="AA552" s="62" t="n">
        <f aca="false">AA547*Assumptions!$C$155*Assumptions!AA$195</f>
        <v>11597.9035727688</v>
      </c>
      <c r="AB552" s="62" t="n">
        <f aca="false">AB547*Assumptions!$C$155*Assumptions!AB$195</f>
        <v>12539.4966219289</v>
      </c>
    </row>
    <row r="553" customFormat="false" ht="15" hidden="false" customHeight="false" outlineLevel="0" collapsed="false">
      <c r="A553" s="29" t="s">
        <v>843</v>
      </c>
      <c r="B553" s="60" t="s">
        <v>908</v>
      </c>
      <c r="C553" s="61" t="n">
        <f aca="false">SUM(E553:P553)</f>
        <v>1391.82029424891</v>
      </c>
      <c r="D553" s="61" t="n">
        <f aca="false">SUM(Q553:AB553)</f>
        <v>89452.4384543754</v>
      </c>
      <c r="E553" s="71" t="n">
        <f aca="false">E552</f>
        <v>0</v>
      </c>
      <c r="F553" s="71" t="n">
        <f aca="false">F552</f>
        <v>0</v>
      </c>
      <c r="G553" s="71" t="n">
        <f aca="false">G552</f>
        <v>0</v>
      </c>
      <c r="H553" s="71" t="n">
        <f aca="false">H552</f>
        <v>0</v>
      </c>
      <c r="I553" s="71" t="n">
        <f aca="false">I552</f>
        <v>0</v>
      </c>
      <c r="J553" s="71" t="n">
        <f aca="false">J552</f>
        <v>0</v>
      </c>
      <c r="K553" s="71" t="n">
        <f aca="false">K552</f>
        <v>0</v>
      </c>
      <c r="L553" s="71" t="n">
        <f aca="false">L552</f>
        <v>0</v>
      </c>
      <c r="M553" s="71" t="n">
        <f aca="false">M552</f>
        <v>0</v>
      </c>
      <c r="N553" s="71" t="n">
        <f aca="false">N552</f>
        <v>0</v>
      </c>
      <c r="O553" s="71" t="n">
        <f aca="false">O552</f>
        <v>1355.27631376252</v>
      </c>
      <c r="P553" s="71" t="n">
        <f aca="false">P552</f>
        <v>36.5439804863882</v>
      </c>
      <c r="Q553" s="71" t="n">
        <f aca="false">Q552</f>
        <v>227.137509012981</v>
      </c>
      <c r="R553" s="71" t="n">
        <f aca="false">R552</f>
        <v>0</v>
      </c>
      <c r="S553" s="71" t="n">
        <f aca="false">S552</f>
        <v>3415.92433417977</v>
      </c>
      <c r="T553" s="71" t="n">
        <f aca="false">T552</f>
        <v>4890.79619507184</v>
      </c>
      <c r="U553" s="71" t="n">
        <f aca="false">U552</f>
        <v>5335.17116181751</v>
      </c>
      <c r="V553" s="71" t="n">
        <f aca="false">V552</f>
        <v>9069.50975170139</v>
      </c>
      <c r="W553" s="71" t="n">
        <f aca="false">W552</f>
        <v>9691.8841015835</v>
      </c>
      <c r="X553" s="71" t="n">
        <f aca="false">X552</f>
        <v>9384.09653054832</v>
      </c>
      <c r="Y553" s="71" t="n">
        <f aca="false">Y552</f>
        <v>12199.6424394539</v>
      </c>
      <c r="Z553" s="71" t="n">
        <f aca="false">Z552</f>
        <v>11100.8762363085</v>
      </c>
      <c r="AA553" s="71" t="n">
        <f aca="false">AA552</f>
        <v>11597.9035727688</v>
      </c>
      <c r="AB553" s="71" t="n">
        <f aca="false">AB552</f>
        <v>12539.4966219289</v>
      </c>
    </row>
    <row r="554" customFormat="false" ht="15" hidden="false" customHeight="false" outlineLevel="0" collapsed="false">
      <c r="A554" s="29" t="s">
        <v>845</v>
      </c>
      <c r="B554" s="60" t="s">
        <v>909</v>
      </c>
      <c r="C554" s="61" t="n">
        <f aca="false">SUM(E554:P554)</f>
        <v>1355.27631376252</v>
      </c>
      <c r="D554" s="61" t="n">
        <f aca="false">SUM(Q554:AB554)</f>
        <v>76949.4858129329</v>
      </c>
      <c r="E554" s="71" t="n">
        <f aca="false">0</f>
        <v>0</v>
      </c>
      <c r="F554" s="71" t="n">
        <f aca="false">E553</f>
        <v>0</v>
      </c>
      <c r="G554" s="71" t="n">
        <f aca="false">F553</f>
        <v>0</v>
      </c>
      <c r="H554" s="71" t="n">
        <f aca="false">G553</f>
        <v>0</v>
      </c>
      <c r="I554" s="71" t="n">
        <f aca="false">H553</f>
        <v>0</v>
      </c>
      <c r="J554" s="71" t="n">
        <f aca="false">I553</f>
        <v>0</v>
      </c>
      <c r="K554" s="71" t="n">
        <f aca="false">J553</f>
        <v>0</v>
      </c>
      <c r="L554" s="71" t="n">
        <f aca="false">K553</f>
        <v>0</v>
      </c>
      <c r="M554" s="71" t="n">
        <f aca="false">L553</f>
        <v>0</v>
      </c>
      <c r="N554" s="71" t="n">
        <f aca="false">M553</f>
        <v>0</v>
      </c>
      <c r="O554" s="71" t="n">
        <f aca="false">N553</f>
        <v>0</v>
      </c>
      <c r="P554" s="71" t="n">
        <f aca="false">O553</f>
        <v>1355.27631376252</v>
      </c>
      <c r="Q554" s="71" t="n">
        <f aca="false">P553</f>
        <v>36.5439804863882</v>
      </c>
      <c r="R554" s="71" t="n">
        <f aca="false">Q553</f>
        <v>227.137509012981</v>
      </c>
      <c r="S554" s="71" t="n">
        <f aca="false">R553</f>
        <v>0</v>
      </c>
      <c r="T554" s="71" t="n">
        <f aca="false">S553</f>
        <v>3415.92433417977</v>
      </c>
      <c r="U554" s="71" t="n">
        <f aca="false">T553</f>
        <v>4890.79619507184</v>
      </c>
      <c r="V554" s="71" t="n">
        <f aca="false">U553</f>
        <v>5335.17116181751</v>
      </c>
      <c r="W554" s="71" t="n">
        <f aca="false">V553</f>
        <v>9069.50975170139</v>
      </c>
      <c r="X554" s="71" t="n">
        <f aca="false">W553</f>
        <v>9691.8841015835</v>
      </c>
      <c r="Y554" s="71" t="n">
        <f aca="false">X553</f>
        <v>9384.09653054832</v>
      </c>
      <c r="Z554" s="71" t="n">
        <f aca="false">Y553</f>
        <v>12199.6424394539</v>
      </c>
      <c r="AA554" s="71" t="n">
        <f aca="false">Z553</f>
        <v>11100.8762363085</v>
      </c>
      <c r="AB554" s="71" t="n">
        <f aca="false">AA553</f>
        <v>11597.9035727688</v>
      </c>
    </row>
    <row r="555" customFormat="false" ht="15" hidden="false" customHeight="false" outlineLevel="0" collapsed="false">
      <c r="A555" s="29" t="s">
        <v>910</v>
      </c>
      <c r="B555" s="60" t="s">
        <v>848</v>
      </c>
      <c r="C555" s="61" t="n">
        <f aca="false">P555</f>
        <v>916.788805002155</v>
      </c>
      <c r="D555" s="61" t="n">
        <f aca="false">AB555</f>
        <v>213116.18728213</v>
      </c>
      <c r="E555" s="71" t="n">
        <f aca="false">0+E550+E553-E551-E554</f>
        <v>0</v>
      </c>
      <c r="F555" s="71" t="n">
        <f aca="false">E555+F550+F553-F551-F554</f>
        <v>0</v>
      </c>
      <c r="G555" s="71" t="n">
        <f aca="false">F555+G550+G553-G551-G554</f>
        <v>0</v>
      </c>
      <c r="H555" s="71" t="n">
        <f aca="false">G555+H550+H553-H551-H554</f>
        <v>0</v>
      </c>
      <c r="I555" s="71" t="n">
        <f aca="false">H555+I550+I553-I551-I554</f>
        <v>0</v>
      </c>
      <c r="J555" s="71" t="n">
        <f aca="false">I555+J550+J553-J551-J554</f>
        <v>0</v>
      </c>
      <c r="K555" s="71" t="n">
        <f aca="false">J555+K550+K553-K551-K554</f>
        <v>0</v>
      </c>
      <c r="L555" s="71" t="n">
        <f aca="false">K555+L550+L553-L551-L554</f>
        <v>0</v>
      </c>
      <c r="M555" s="71" t="n">
        <f aca="false">L555+M550+M553-M551-M554</f>
        <v>0</v>
      </c>
      <c r="N555" s="71" t="n">
        <f aca="false">M555+N550+N553-N551-N554</f>
        <v>0</v>
      </c>
      <c r="O555" s="71" t="n">
        <f aca="false">N555+O550+O553-O551-O554</f>
        <v>28060.0514058955</v>
      </c>
      <c r="P555" s="71" t="n">
        <f aca="false">O555+P550+P553-P551-P554</f>
        <v>916.788805002155</v>
      </c>
      <c r="Q555" s="71" t="n">
        <f aca="false">P555+Q550+Q553-Q551-Q554</f>
        <v>3725.82336576042</v>
      </c>
      <c r="R555" s="71" t="n">
        <f aca="false">Q555+R550+R553-R551-R554</f>
        <v>1.25055521493778E-012</v>
      </c>
      <c r="S555" s="71" t="n">
        <f aca="false">R555+S550+S553-S551-S554</f>
        <v>61657.5663723073</v>
      </c>
      <c r="T555" s="71" t="n">
        <f aca="false">S555+T550+T553-T551-T554</f>
        <v>87899.8924095412</v>
      </c>
      <c r="U555" s="71" t="n">
        <f aca="false">T555+U550+U553-U551-U554</f>
        <v>94236.9108454674</v>
      </c>
      <c r="V555" s="71" t="n">
        <f aca="false">U555+V550+V553-V551-V554</f>
        <v>158876.972265668</v>
      </c>
      <c r="W555" s="71" t="n">
        <f aca="false">V555+W550+W553-W551-W554</f>
        <v>169261.262706731</v>
      </c>
      <c r="X555" s="71" t="n">
        <f aca="false">W555+X550+X553-X551-X554</f>
        <v>163421.566653044</v>
      </c>
      <c r="Y555" s="71" t="n">
        <f aca="false">X555+Y550+Y553-Y551-Y554</f>
        <v>207161.821040421</v>
      </c>
      <c r="Z555" s="71" t="n">
        <f aca="false">Y555+Z550+Z553-Z551-Z554</f>
        <v>188558.350506298</v>
      </c>
      <c r="AA555" s="71" t="n">
        <f aca="false">Z555+AA550+AA553-AA551-AA554</f>
        <v>197057.31955884</v>
      </c>
      <c r="AB555" s="71" t="n">
        <f aca="false">AA555+AB550+AB553-AB551-AB554</f>
        <v>213116.18728213</v>
      </c>
    </row>
    <row r="557" customFormat="false" ht="15" hidden="false" customHeight="false" outlineLevel="0" collapsed="false">
      <c r="A557" s="23" t="s">
        <v>912</v>
      </c>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row>
    <row r="558" customFormat="false" ht="15" hidden="false" customHeight="false" outlineLevel="0" collapsed="false">
      <c r="A558" s="29" t="s">
        <v>901</v>
      </c>
      <c r="B558" s="60" t="s">
        <v>902</v>
      </c>
      <c r="C558" s="66" t="n">
        <f aca="false">SUM(E558:P558)</f>
        <v>293.147262834776</v>
      </c>
      <c r="D558" s="66" t="n">
        <f aca="false">SUM(Q558:AB558)</f>
        <v>5425.10271719392</v>
      </c>
      <c r="E558" s="67" t="n">
        <f aca="false">Capacity!E97+Capacity!E104+Capacity!E111+Capacity!E118+Capacity!E125</f>
        <v>0</v>
      </c>
      <c r="F558" s="67" t="n">
        <f aca="false">Capacity!F97+Capacity!F104+Capacity!F111+Capacity!F118+Capacity!F125</f>
        <v>0</v>
      </c>
      <c r="G558" s="67" t="n">
        <f aca="false">Capacity!G97+Capacity!G104+Capacity!G111+Capacity!G118+Capacity!G125</f>
        <v>0</v>
      </c>
      <c r="H558" s="67" t="n">
        <f aca="false">Capacity!H97+Capacity!H104+Capacity!H111+Capacity!H118+Capacity!H125</f>
        <v>0</v>
      </c>
      <c r="I558" s="67" t="n">
        <f aca="false">Capacity!I97+Capacity!I104+Capacity!I111+Capacity!I118+Capacity!I125</f>
        <v>0</v>
      </c>
      <c r="J558" s="67" t="n">
        <f aca="false">Capacity!J97+Capacity!J104+Capacity!J111+Capacity!J118+Capacity!J125</f>
        <v>0</v>
      </c>
      <c r="K558" s="67" t="n">
        <f aca="false">Capacity!K97+Capacity!K104+Capacity!K111+Capacity!K118+Capacity!K125</f>
        <v>0</v>
      </c>
      <c r="L558" s="67" t="n">
        <f aca="false">Capacity!L97+Capacity!L104+Capacity!L111+Capacity!L118+Capacity!L125</f>
        <v>0</v>
      </c>
      <c r="M558" s="67" t="n">
        <f aca="false">Capacity!M97+Capacity!M104+Capacity!M111+Capacity!M118+Capacity!M125</f>
        <v>0</v>
      </c>
      <c r="N558" s="67" t="n">
        <f aca="false">Capacity!N97+Capacity!N104+Capacity!N111+Capacity!N118+Capacity!N125</f>
        <v>0</v>
      </c>
      <c r="O558" s="67" t="n">
        <f aca="false">Capacity!O97+Capacity!O104+Capacity!O111+Capacity!O118+Capacity!O125</f>
        <v>145.108498375271</v>
      </c>
      <c r="P558" s="67" t="n">
        <f aca="false">Capacity!P97+Capacity!P104+Capacity!P111+Capacity!P118+Capacity!P125</f>
        <v>148.038764459505</v>
      </c>
      <c r="Q558" s="67" t="n">
        <f aca="false">Capacity!Q97+Capacity!Q104+Capacity!Q111+Capacity!Q118+Capacity!Q125</f>
        <v>126.780952808553</v>
      </c>
      <c r="R558" s="67" t="n">
        <f aca="false">Capacity!R97+Capacity!R104+Capacity!R111+Capacity!R118+Capacity!R125</f>
        <v>167.163812470259</v>
      </c>
      <c r="S558" s="67" t="n">
        <f aca="false">Capacity!S97+Capacity!S104+Capacity!S111+Capacity!S118+Capacity!S125</f>
        <v>179.331259973875</v>
      </c>
      <c r="T558" s="67" t="n">
        <f aca="false">Capacity!T97+Capacity!T104+Capacity!T111+Capacity!T118+Capacity!T125</f>
        <v>515.924929989348</v>
      </c>
      <c r="U558" s="67" t="n">
        <f aca="false">Capacity!U97+Capacity!U104+Capacity!U111+Capacity!U118+Capacity!U125</f>
        <v>392.849966749227</v>
      </c>
      <c r="V558" s="67" t="n">
        <f aca="false">Capacity!V97+Capacity!V104+Capacity!V111+Capacity!V118+Capacity!V125</f>
        <v>602.758601284679</v>
      </c>
      <c r="W558" s="67" t="n">
        <f aca="false">Capacity!W97+Capacity!W104+Capacity!W111+Capacity!W118+Capacity!W125</f>
        <v>583.350672750658</v>
      </c>
      <c r="X558" s="67" t="n">
        <f aca="false">Capacity!X97+Capacity!X104+Capacity!X111+Capacity!X118+Capacity!X125</f>
        <v>510.836470943464</v>
      </c>
      <c r="Y558" s="67" t="n">
        <f aca="false">Capacity!Y97+Capacity!Y104+Capacity!Y111+Capacity!Y118+Capacity!Y125</f>
        <v>602.290584638324</v>
      </c>
      <c r="Z558" s="67" t="n">
        <f aca="false">Capacity!Z97+Capacity!Z104+Capacity!Z111+Capacity!Z118+Capacity!Z125</f>
        <v>548.687122430481</v>
      </c>
      <c r="AA558" s="67" t="n">
        <f aca="false">Capacity!AA97+Capacity!AA104+Capacity!AA111+Capacity!AA118+Capacity!AA125</f>
        <v>573.913923171468</v>
      </c>
      <c r="AB558" s="67" t="n">
        <f aca="false">Capacity!AB97+Capacity!AB104+Capacity!AB111+Capacity!AB118+Capacity!AB125</f>
        <v>621.214419983583</v>
      </c>
    </row>
    <row r="559" customFormat="false" ht="15" hidden="false" customHeight="false" outlineLevel="0" collapsed="false">
      <c r="A559" s="29" t="s">
        <v>833</v>
      </c>
      <c r="B559" s="60" t="s">
        <v>903</v>
      </c>
      <c r="C559" s="61" t="n">
        <f aca="false">SUM(E559:P559)</f>
        <v>51031.0737205346</v>
      </c>
      <c r="D559" s="61" t="n">
        <f aca="false">SUM(Q559:AB559)</f>
        <v>1104126.0501612</v>
      </c>
      <c r="E559" s="62" t="n">
        <f aca="false">(Capacity!E97*Assumptions!$C$64+Capacity!E104*Assumptions!$C$65+Capacity!E111*Assumptions!$C$66+Capacity!E118*Assumptions!$C$67+Capacity!E125*Assumptions!$C$68)*Assumptions!E$194</f>
        <v>0</v>
      </c>
      <c r="F559" s="62" t="n">
        <f aca="false">(Capacity!F97*Assumptions!$C$64+Capacity!F104*Assumptions!$C$65+Capacity!F111*Assumptions!$C$66+Capacity!F118*Assumptions!$C$67+Capacity!F125*Assumptions!$C$68)*Assumptions!F$194</f>
        <v>0</v>
      </c>
      <c r="G559" s="62" t="n">
        <f aca="false">(Capacity!G97*Assumptions!$C$64+Capacity!G104*Assumptions!$C$65+Capacity!G111*Assumptions!$C$66+Capacity!G118*Assumptions!$C$67+Capacity!G125*Assumptions!$C$68)*Assumptions!G$194</f>
        <v>0</v>
      </c>
      <c r="H559" s="62" t="n">
        <f aca="false">(Capacity!H97*Assumptions!$C$64+Capacity!H104*Assumptions!$C$65+Capacity!H111*Assumptions!$C$66+Capacity!H118*Assumptions!$C$67+Capacity!H125*Assumptions!$C$68)*Assumptions!H$194</f>
        <v>0</v>
      </c>
      <c r="I559" s="62" t="n">
        <f aca="false">(Capacity!I97*Assumptions!$C$64+Capacity!I104*Assumptions!$C$65+Capacity!I111*Assumptions!$C$66+Capacity!I118*Assumptions!$C$67+Capacity!I125*Assumptions!$C$68)*Assumptions!I$194</f>
        <v>0</v>
      </c>
      <c r="J559" s="62" t="n">
        <f aca="false">(Capacity!J97*Assumptions!$C$64+Capacity!J104*Assumptions!$C$65+Capacity!J111*Assumptions!$C$66+Capacity!J118*Assumptions!$C$67+Capacity!J125*Assumptions!$C$68)*Assumptions!J$194</f>
        <v>0</v>
      </c>
      <c r="K559" s="62" t="n">
        <f aca="false">(Capacity!K97*Assumptions!$C$64+Capacity!K104*Assumptions!$C$65+Capacity!K111*Assumptions!$C$66+Capacity!K118*Assumptions!$C$67+Capacity!K125*Assumptions!$C$68)*Assumptions!K$194</f>
        <v>0</v>
      </c>
      <c r="L559" s="62" t="n">
        <f aca="false">(Capacity!L97*Assumptions!$C$64+Capacity!L104*Assumptions!$C$65+Capacity!L111*Assumptions!$C$66+Capacity!L118*Assumptions!$C$67+Capacity!L125*Assumptions!$C$68)*Assumptions!L$194</f>
        <v>0</v>
      </c>
      <c r="M559" s="62" t="n">
        <f aca="false">(Capacity!M97*Assumptions!$C$64+Capacity!M104*Assumptions!$C$65+Capacity!M111*Assumptions!$C$66+Capacity!M118*Assumptions!$C$67+Capacity!M125*Assumptions!$C$68)*Assumptions!M$194</f>
        <v>0</v>
      </c>
      <c r="N559" s="62" t="n">
        <f aca="false">(Capacity!N97*Assumptions!$C$64+Capacity!N104*Assumptions!$C$65+Capacity!N111*Assumptions!$C$66+Capacity!N118*Assumptions!$C$67+Capacity!N125*Assumptions!$C$68)*Assumptions!N$194</f>
        <v>0</v>
      </c>
      <c r="O559" s="62" t="n">
        <f aca="false">(Capacity!O97*Assumptions!$C$64+Capacity!O104*Assumptions!$C$65+Capacity!O111*Assumptions!$C$66+Capacity!O118*Assumptions!$C$67+Capacity!O125*Assumptions!$C$68)*Assumptions!O$194</f>
        <v>25245.0522766712</v>
      </c>
      <c r="P559" s="62" t="n">
        <f aca="false">(Capacity!P97*Assumptions!$C$64+Capacity!P104*Assumptions!$C$65+Capacity!P111*Assumptions!$C$66+Capacity!P118*Assumptions!$C$67+Capacity!P125*Assumptions!$C$68)*Assumptions!P$194</f>
        <v>25786.0214438633</v>
      </c>
      <c r="Q559" s="62" t="n">
        <f aca="false">(Capacity!Q97*Assumptions!$C$64+Capacity!Q104*Assumptions!$C$65+Capacity!Q111*Assumptions!$C$66+Capacity!Q118*Assumptions!$C$67+Capacity!Q125*Assumptions!$C$68)*Assumptions!Q$194</f>
        <v>22963.3707092686</v>
      </c>
      <c r="R559" s="62" t="n">
        <f aca="false">(Capacity!R97*Assumptions!$C$64+Capacity!R104*Assumptions!$C$65+Capacity!R111*Assumptions!$C$66+Capacity!R118*Assumptions!$C$67+Capacity!R125*Assumptions!$C$68)*Assumptions!R$194</f>
        <v>31411.8394768716</v>
      </c>
      <c r="S559" s="62" t="n">
        <f aca="false">(Capacity!S97*Assumptions!$C$64+Capacity!S104*Assumptions!$C$65+Capacity!S111*Assumptions!$C$66+Capacity!S118*Assumptions!$C$67+Capacity!S125*Assumptions!$C$68)*Assumptions!S$194</f>
        <v>33697.8521526564</v>
      </c>
      <c r="T559" s="62" t="n">
        <f aca="false">(Capacity!T97*Assumptions!$C$64+Capacity!T104*Assumptions!$C$65+Capacity!T111*Assumptions!$C$66+Capacity!T118*Assumptions!$C$67+Capacity!T125*Assumptions!$C$68)*Assumptions!T$194</f>
        <v>105379.592475808</v>
      </c>
      <c r="U559" s="62" t="n">
        <f aca="false">(Capacity!U97*Assumptions!$C$64+Capacity!U104*Assumptions!$C$65+Capacity!U111*Assumptions!$C$66+Capacity!U118*Assumptions!$C$67+Capacity!U125*Assumptions!$C$68)*Assumptions!U$194</f>
        <v>80224.4916810567</v>
      </c>
      <c r="V559" s="62" t="n">
        <f aca="false">(Capacity!V97*Assumptions!$C$64+Capacity!V104*Assumptions!$C$65+Capacity!V111*Assumptions!$C$66+Capacity!V118*Assumptions!$C$67+Capacity!V125*Assumptions!$C$68)*Assumptions!V$194</f>
        <v>123825.228978727</v>
      </c>
      <c r="W559" s="62" t="n">
        <f aca="false">(Capacity!W97*Assumptions!$C$64+Capacity!W104*Assumptions!$C$65+Capacity!W111*Assumptions!$C$66+Capacity!W118*Assumptions!$C$67+Capacity!W125*Assumptions!$C$68)*Assumptions!W$194</f>
        <v>119817.347095625</v>
      </c>
      <c r="X559" s="62" t="n">
        <f aca="false">(Capacity!X97*Assumptions!$C$64+Capacity!X104*Assumptions!$C$65+Capacity!X111*Assumptions!$C$66+Capacity!X118*Assumptions!$C$67+Capacity!X125*Assumptions!$C$68)*Assumptions!X$194</f>
        <v>104923.749034517</v>
      </c>
      <c r="Y559" s="62" t="n">
        <f aca="false">(Capacity!Y97*Assumptions!$C$64+Capacity!Y104*Assumptions!$C$65+Capacity!Y111*Assumptions!$C$66+Capacity!Y118*Assumptions!$C$67+Capacity!Y125*Assumptions!$C$68)*Assumptions!Y$194</f>
        <v>123708.411497136</v>
      </c>
      <c r="Z559" s="62" t="n">
        <f aca="false">(Capacity!Z97*Assumptions!$C$64+Capacity!Z104*Assumptions!$C$65+Capacity!Z111*Assumptions!$C$66+Capacity!Z118*Assumptions!$C$67+Capacity!Z125*Assumptions!$C$68)*Assumptions!Z$194</f>
        <v>112698.60206535</v>
      </c>
      <c r="AA559" s="62" t="n">
        <f aca="false">(Capacity!AA97*Assumptions!$C$64+Capacity!AA104*Assumptions!$C$65+Capacity!AA111*Assumptions!$C$66+Capacity!AA118*Assumptions!$C$67+Capacity!AA125*Assumptions!$C$68)*Assumptions!AA$194</f>
        <v>117880.09875358</v>
      </c>
      <c r="AB559" s="62" t="n">
        <f aca="false">(Capacity!AB97*Assumptions!$C$64+Capacity!AB104*Assumptions!$C$65+Capacity!AB111*Assumptions!$C$66+Capacity!AB118*Assumptions!$C$67+Capacity!AB125*Assumptions!$C$68)*Assumptions!AB$194</f>
        <v>127595.466240604</v>
      </c>
    </row>
    <row r="560" customFormat="false" ht="15" hidden="false" customHeight="false" outlineLevel="0" collapsed="false">
      <c r="A560" s="29" t="s">
        <v>835</v>
      </c>
      <c r="B560" s="60" t="s">
        <v>904</v>
      </c>
      <c r="C560" s="61" t="n">
        <f aca="false">SUM(E560:P560)</f>
        <v>46948.5878228918</v>
      </c>
      <c r="D560" s="61" t="n">
        <f aca="false">SUM(Q560:AB560)</f>
        <v>1015795.9661483</v>
      </c>
      <c r="E560" s="62" t="n">
        <f aca="false">E559*(1-Assumptions!$C$153)</f>
        <v>0</v>
      </c>
      <c r="F560" s="62" t="n">
        <f aca="false">F559*(1-Assumptions!$C$153)</f>
        <v>0</v>
      </c>
      <c r="G560" s="62" t="n">
        <f aca="false">G559*(1-Assumptions!$C$153)</f>
        <v>0</v>
      </c>
      <c r="H560" s="62" t="n">
        <f aca="false">H559*(1-Assumptions!$C$153)</f>
        <v>0</v>
      </c>
      <c r="I560" s="62" t="n">
        <f aca="false">I559*(1-Assumptions!$C$153)</f>
        <v>0</v>
      </c>
      <c r="J560" s="62" t="n">
        <f aca="false">J559*(1-Assumptions!$C$153)</f>
        <v>0</v>
      </c>
      <c r="K560" s="62" t="n">
        <f aca="false">K559*(1-Assumptions!$C$153)</f>
        <v>0</v>
      </c>
      <c r="L560" s="62" t="n">
        <f aca="false">L559*(1-Assumptions!$C$153)</f>
        <v>0</v>
      </c>
      <c r="M560" s="62" t="n">
        <f aca="false">M559*(1-Assumptions!$C$153)</f>
        <v>0</v>
      </c>
      <c r="N560" s="62" t="n">
        <f aca="false">N559*(1-Assumptions!$C$153)</f>
        <v>0</v>
      </c>
      <c r="O560" s="62" t="n">
        <f aca="false">O559*(1-Assumptions!$C$153)</f>
        <v>23225.4480945375</v>
      </c>
      <c r="P560" s="62" t="n">
        <f aca="false">P559*(1-Assumptions!$C$153)</f>
        <v>23723.1397283543</v>
      </c>
      <c r="Q560" s="62" t="n">
        <f aca="false">Q559*(1-Assumptions!$C$153)</f>
        <v>21126.3010525271</v>
      </c>
      <c r="R560" s="62" t="n">
        <f aca="false">R559*(1-Assumptions!$C$153)</f>
        <v>28898.8923187219</v>
      </c>
      <c r="S560" s="62" t="n">
        <f aca="false">S559*(1-Assumptions!$C$153)</f>
        <v>31002.0239804439</v>
      </c>
      <c r="T560" s="62" t="n">
        <f aca="false">T559*(1-Assumptions!$C$153)</f>
        <v>96949.2250777436</v>
      </c>
      <c r="U560" s="62" t="n">
        <f aca="false">U559*(1-Assumptions!$C$153)</f>
        <v>73806.5323465722</v>
      </c>
      <c r="V560" s="62" t="n">
        <f aca="false">V559*(1-Assumptions!$C$153)</f>
        <v>113919.210660429</v>
      </c>
      <c r="W560" s="62" t="n">
        <f aca="false">W559*(1-Assumptions!$C$153)</f>
        <v>110231.959327975</v>
      </c>
      <c r="X560" s="62" t="n">
        <f aca="false">X559*(1-Assumptions!$C$153)</f>
        <v>96529.8491117554</v>
      </c>
      <c r="Y560" s="62" t="n">
        <f aca="false">Y559*(1-Assumptions!$C$153)</f>
        <v>113811.738577365</v>
      </c>
      <c r="Z560" s="62" t="n">
        <f aca="false">Z559*(1-Assumptions!$C$153)</f>
        <v>103682.713900122</v>
      </c>
      <c r="AA560" s="62" t="n">
        <f aca="false">AA559*(1-Assumptions!$C$153)</f>
        <v>108449.690853293</v>
      </c>
      <c r="AB560" s="62" t="n">
        <f aca="false">AB559*(1-Assumptions!$C$153)</f>
        <v>117387.828941356</v>
      </c>
    </row>
    <row r="561" customFormat="false" ht="15" hidden="false" customHeight="false" outlineLevel="0" collapsed="false">
      <c r="A561" s="68" t="s">
        <v>349</v>
      </c>
      <c r="B561" s="69" t="s">
        <v>905</v>
      </c>
      <c r="C561" s="70" t="n">
        <f aca="false">SUM(E561:P561)</f>
        <v>45070.6443099761</v>
      </c>
      <c r="D561" s="70" t="n">
        <f aca="false">SUM(Q561:AB561)</f>
        <v>975164.127502372</v>
      </c>
      <c r="E561" s="74" t="n">
        <f aca="false">E560*(1-Assumptions!$C$154)</f>
        <v>0</v>
      </c>
      <c r="F561" s="74" t="n">
        <f aca="false">F560*(1-Assumptions!$C$154)</f>
        <v>0</v>
      </c>
      <c r="G561" s="74" t="n">
        <f aca="false">G560*(1-Assumptions!$C$154)</f>
        <v>0</v>
      </c>
      <c r="H561" s="74" t="n">
        <f aca="false">H560*(1-Assumptions!$C$154)</f>
        <v>0</v>
      </c>
      <c r="I561" s="74" t="n">
        <f aca="false">I560*(1-Assumptions!$C$154)</f>
        <v>0</v>
      </c>
      <c r="J561" s="74" t="n">
        <f aca="false">J560*(1-Assumptions!$C$154)</f>
        <v>0</v>
      </c>
      <c r="K561" s="74" t="n">
        <f aca="false">K560*(1-Assumptions!$C$154)</f>
        <v>0</v>
      </c>
      <c r="L561" s="74" t="n">
        <f aca="false">L560*(1-Assumptions!$C$154)</f>
        <v>0</v>
      </c>
      <c r="M561" s="74" t="n">
        <f aca="false">M560*(1-Assumptions!$C$154)</f>
        <v>0</v>
      </c>
      <c r="N561" s="74" t="n">
        <f aca="false">N560*(1-Assumptions!$C$154)</f>
        <v>0</v>
      </c>
      <c r="O561" s="74" t="n">
        <f aca="false">O560*(1-Assumptions!$C$154)</f>
        <v>22296.430170756</v>
      </c>
      <c r="P561" s="74" t="n">
        <f aca="false">P560*(1-Assumptions!$C$154)</f>
        <v>22774.2141392201</v>
      </c>
      <c r="Q561" s="74" t="n">
        <f aca="false">Q560*(1-Assumptions!$C$154)</f>
        <v>20281.249010426</v>
      </c>
      <c r="R561" s="74" t="n">
        <f aca="false">R560*(1-Assumptions!$C$154)</f>
        <v>27742.936625973</v>
      </c>
      <c r="S561" s="74" t="n">
        <f aca="false">S560*(1-Assumptions!$C$154)</f>
        <v>29761.9430212261</v>
      </c>
      <c r="T561" s="74" t="n">
        <f aca="false">T560*(1-Assumptions!$C$154)</f>
        <v>93071.2560746338</v>
      </c>
      <c r="U561" s="74" t="n">
        <f aca="false">U560*(1-Assumptions!$C$154)</f>
        <v>70854.2710527093</v>
      </c>
      <c r="V561" s="74" t="n">
        <f aca="false">V560*(1-Assumptions!$C$154)</f>
        <v>109362.442234012</v>
      </c>
      <c r="W561" s="74" t="n">
        <f aca="false">W560*(1-Assumptions!$C$154)</f>
        <v>105822.680954856</v>
      </c>
      <c r="X561" s="74" t="n">
        <f aca="false">X560*(1-Assumptions!$C$154)</f>
        <v>92668.6551472852</v>
      </c>
      <c r="Y561" s="74" t="n">
        <f aca="false">Y560*(1-Assumptions!$C$154)</f>
        <v>109259.26903427</v>
      </c>
      <c r="Z561" s="74" t="n">
        <f aca="false">Z560*(1-Assumptions!$C$154)</f>
        <v>99535.4053441172</v>
      </c>
      <c r="AA561" s="74" t="n">
        <f aca="false">AA560*(1-Assumptions!$C$154)</f>
        <v>104111.703219161</v>
      </c>
      <c r="AB561" s="74" t="n">
        <f aca="false">AB560*(1-Assumptions!$C$154)</f>
        <v>112692.315783702</v>
      </c>
    </row>
    <row r="562" customFormat="false" ht="15" hidden="false" customHeight="false" outlineLevel="0" collapsed="false">
      <c r="A562" s="29" t="s">
        <v>838</v>
      </c>
      <c r="B562" s="60" t="s">
        <v>906</v>
      </c>
      <c r="C562" s="61" t="n">
        <f aca="false">SUM(E562:P562)</f>
        <v>22296.430170756</v>
      </c>
      <c r="D562" s="61" t="n">
        <f aca="false">SUM(Q562:AB562)</f>
        <v>885246.025857891</v>
      </c>
      <c r="E562" s="71" t="n">
        <f aca="false">0</f>
        <v>0</v>
      </c>
      <c r="F562" s="71" t="n">
        <f aca="false">E561</f>
        <v>0</v>
      </c>
      <c r="G562" s="71" t="n">
        <f aca="false">F561</f>
        <v>0</v>
      </c>
      <c r="H562" s="71" t="n">
        <f aca="false">G561</f>
        <v>0</v>
      </c>
      <c r="I562" s="71" t="n">
        <f aca="false">H561</f>
        <v>0</v>
      </c>
      <c r="J562" s="71" t="n">
        <f aca="false">I561</f>
        <v>0</v>
      </c>
      <c r="K562" s="71" t="n">
        <f aca="false">J561</f>
        <v>0</v>
      </c>
      <c r="L562" s="71" t="n">
        <f aca="false">K561</f>
        <v>0</v>
      </c>
      <c r="M562" s="71" t="n">
        <f aca="false">L561</f>
        <v>0</v>
      </c>
      <c r="N562" s="71" t="n">
        <f aca="false">M561</f>
        <v>0</v>
      </c>
      <c r="O562" s="71" t="n">
        <f aca="false">N561</f>
        <v>0</v>
      </c>
      <c r="P562" s="71" t="n">
        <f aca="false">O561</f>
        <v>22296.430170756</v>
      </c>
      <c r="Q562" s="71" t="n">
        <f aca="false">P561</f>
        <v>22774.2141392201</v>
      </c>
      <c r="R562" s="71" t="n">
        <f aca="false">Q561</f>
        <v>20281.249010426</v>
      </c>
      <c r="S562" s="71" t="n">
        <f aca="false">R561</f>
        <v>27742.936625973</v>
      </c>
      <c r="T562" s="71" t="n">
        <f aca="false">S561</f>
        <v>29761.9430212261</v>
      </c>
      <c r="U562" s="71" t="n">
        <f aca="false">T561</f>
        <v>93071.2560746338</v>
      </c>
      <c r="V562" s="71" t="n">
        <f aca="false">U561</f>
        <v>70854.2710527093</v>
      </c>
      <c r="W562" s="71" t="n">
        <f aca="false">V561</f>
        <v>109362.442234012</v>
      </c>
      <c r="X562" s="71" t="n">
        <f aca="false">W561</f>
        <v>105822.680954856</v>
      </c>
      <c r="Y562" s="71" t="n">
        <f aca="false">X561</f>
        <v>92668.6551472852</v>
      </c>
      <c r="Z562" s="71" t="n">
        <f aca="false">Y561</f>
        <v>109259.26903427</v>
      </c>
      <c r="AA562" s="71" t="n">
        <f aca="false">Z561</f>
        <v>99535.4053441172</v>
      </c>
      <c r="AB562" s="71" t="n">
        <f aca="false">AA561</f>
        <v>104111.703219161</v>
      </c>
    </row>
    <row r="563" customFormat="false" ht="15" hidden="false" customHeight="false" outlineLevel="0" collapsed="false">
      <c r="A563" s="29" t="s">
        <v>841</v>
      </c>
      <c r="B563" s="60" t="s">
        <v>907</v>
      </c>
      <c r="C563" s="61" t="n">
        <f aca="false">SUM(E563:P563)</f>
        <v>3224.61989118254</v>
      </c>
      <c r="D563" s="61" t="n">
        <f aca="false">SUM(Q563:AB563)</f>
        <v>61466.4137858071</v>
      </c>
      <c r="E563" s="62" t="n">
        <f aca="false">E558*Assumptions!$C$155*Assumptions!E$195</f>
        <v>0</v>
      </c>
      <c r="F563" s="62" t="n">
        <f aca="false">F558*Assumptions!$C$155*Assumptions!F$195</f>
        <v>0</v>
      </c>
      <c r="G563" s="62" t="n">
        <f aca="false">G558*Assumptions!$C$155*Assumptions!G$195</f>
        <v>0</v>
      </c>
      <c r="H563" s="62" t="n">
        <f aca="false">H558*Assumptions!$C$155*Assumptions!H$195</f>
        <v>0</v>
      </c>
      <c r="I563" s="62" t="n">
        <f aca="false">I558*Assumptions!$C$155*Assumptions!I$195</f>
        <v>0</v>
      </c>
      <c r="J563" s="62" t="n">
        <f aca="false">J558*Assumptions!$C$155*Assumptions!J$195</f>
        <v>0</v>
      </c>
      <c r="K563" s="62" t="n">
        <f aca="false">K558*Assumptions!$C$155*Assumptions!K$195</f>
        <v>0</v>
      </c>
      <c r="L563" s="62" t="n">
        <f aca="false">L558*Assumptions!$C$155*Assumptions!L$195</f>
        <v>0</v>
      </c>
      <c r="M563" s="62" t="n">
        <f aca="false">M558*Assumptions!$C$155*Assumptions!M$195</f>
        <v>0</v>
      </c>
      <c r="N563" s="62" t="n">
        <f aca="false">N558*Assumptions!$C$155*Assumptions!N$195</f>
        <v>0</v>
      </c>
      <c r="O563" s="62" t="n">
        <f aca="false">O558*Assumptions!$C$155*Assumptions!O$195</f>
        <v>1596.19348212798</v>
      </c>
      <c r="P563" s="62" t="n">
        <f aca="false">P558*Assumptions!$C$155*Assumptions!P$195</f>
        <v>1628.42640905456</v>
      </c>
      <c r="Q563" s="62" t="n">
        <f aca="false">Q558*Assumptions!$C$155*Assumptions!Q$195</f>
        <v>1436.4281953209</v>
      </c>
      <c r="R563" s="62" t="n">
        <f aca="false">R558*Assumptions!$C$155*Assumptions!R$195</f>
        <v>1893.96599528804</v>
      </c>
      <c r="S563" s="62" t="n">
        <f aca="false">S558*Assumptions!$C$155*Assumptions!S$195</f>
        <v>2031.82317550401</v>
      </c>
      <c r="T563" s="62" t="n">
        <f aca="false">T558*Assumptions!$C$155*Assumptions!T$195</f>
        <v>5845.42945677931</v>
      </c>
      <c r="U563" s="62" t="n">
        <f aca="false">U558*Assumptions!$C$155*Assumptions!U$195</f>
        <v>4450.99012326874</v>
      </c>
      <c r="V563" s="62" t="n">
        <f aca="false">V558*Assumptions!$C$155*Assumptions!V$195</f>
        <v>6829.25495255541</v>
      </c>
      <c r="W563" s="62" t="n">
        <f aca="false">W558*Assumptions!$C$155*Assumptions!W$195</f>
        <v>6609.36312226495</v>
      </c>
      <c r="X563" s="62" t="n">
        <f aca="false">X558*Assumptions!$C$155*Assumptions!X$195</f>
        <v>5787.77721578945</v>
      </c>
      <c r="Y563" s="62" t="n">
        <f aca="false">Y558*Assumptions!$C$155*Assumptions!Y$195</f>
        <v>6823.95232395221</v>
      </c>
      <c r="Z563" s="62" t="n">
        <f aca="false">Z558*Assumptions!$C$155*Assumptions!Z$195</f>
        <v>6216.62509713735</v>
      </c>
      <c r="AA563" s="62" t="n">
        <f aca="false">AA558*Assumptions!$C$155*Assumptions!AA$195</f>
        <v>6502.44474953273</v>
      </c>
      <c r="AB563" s="62" t="n">
        <f aca="false">AB558*Assumptions!$C$155*Assumptions!AB$195</f>
        <v>7038.35937841399</v>
      </c>
    </row>
    <row r="564" customFormat="false" ht="15" hidden="false" customHeight="false" outlineLevel="0" collapsed="false">
      <c r="A564" s="29" t="s">
        <v>843</v>
      </c>
      <c r="B564" s="60" t="s">
        <v>908</v>
      </c>
      <c r="C564" s="61" t="n">
        <f aca="false">SUM(E564:P564)</f>
        <v>3224.61989118254</v>
      </c>
      <c r="D564" s="61" t="n">
        <f aca="false">SUM(Q564:AB564)</f>
        <v>61466.4137858071</v>
      </c>
      <c r="E564" s="71" t="n">
        <f aca="false">E563</f>
        <v>0</v>
      </c>
      <c r="F564" s="71" t="n">
        <f aca="false">F563</f>
        <v>0</v>
      </c>
      <c r="G564" s="71" t="n">
        <f aca="false">G563</f>
        <v>0</v>
      </c>
      <c r="H564" s="71" t="n">
        <f aca="false">H563</f>
        <v>0</v>
      </c>
      <c r="I564" s="71" t="n">
        <f aca="false">I563</f>
        <v>0</v>
      </c>
      <c r="J564" s="71" t="n">
        <f aca="false">J563</f>
        <v>0</v>
      </c>
      <c r="K564" s="71" t="n">
        <f aca="false">K563</f>
        <v>0</v>
      </c>
      <c r="L564" s="71" t="n">
        <f aca="false">L563</f>
        <v>0</v>
      </c>
      <c r="M564" s="71" t="n">
        <f aca="false">M563</f>
        <v>0</v>
      </c>
      <c r="N564" s="71" t="n">
        <f aca="false">N563</f>
        <v>0</v>
      </c>
      <c r="O564" s="71" t="n">
        <f aca="false">O563</f>
        <v>1596.19348212798</v>
      </c>
      <c r="P564" s="71" t="n">
        <f aca="false">P563</f>
        <v>1628.42640905456</v>
      </c>
      <c r="Q564" s="71" t="n">
        <f aca="false">Q563</f>
        <v>1436.4281953209</v>
      </c>
      <c r="R564" s="71" t="n">
        <f aca="false">R563</f>
        <v>1893.96599528804</v>
      </c>
      <c r="S564" s="71" t="n">
        <f aca="false">S563</f>
        <v>2031.82317550401</v>
      </c>
      <c r="T564" s="71" t="n">
        <f aca="false">T563</f>
        <v>5845.42945677931</v>
      </c>
      <c r="U564" s="71" t="n">
        <f aca="false">U563</f>
        <v>4450.99012326874</v>
      </c>
      <c r="V564" s="71" t="n">
        <f aca="false">V563</f>
        <v>6829.25495255541</v>
      </c>
      <c r="W564" s="71" t="n">
        <f aca="false">W563</f>
        <v>6609.36312226495</v>
      </c>
      <c r="X564" s="71" t="n">
        <f aca="false">X563</f>
        <v>5787.77721578945</v>
      </c>
      <c r="Y564" s="71" t="n">
        <f aca="false">Y563</f>
        <v>6823.95232395221</v>
      </c>
      <c r="Z564" s="71" t="n">
        <f aca="false">Z563</f>
        <v>6216.62509713735</v>
      </c>
      <c r="AA564" s="71" t="n">
        <f aca="false">AA563</f>
        <v>6502.44474953273</v>
      </c>
      <c r="AB564" s="71" t="n">
        <f aca="false">AB563</f>
        <v>7038.35937841399</v>
      </c>
    </row>
    <row r="565" customFormat="false" ht="15" hidden="false" customHeight="false" outlineLevel="0" collapsed="false">
      <c r="A565" s="29" t="s">
        <v>845</v>
      </c>
      <c r="B565" s="60" t="s">
        <v>909</v>
      </c>
      <c r="C565" s="61" t="n">
        <f aca="false">SUM(E565:P565)</f>
        <v>1596.19348212798</v>
      </c>
      <c r="D565" s="61" t="n">
        <f aca="false">SUM(Q565:AB565)</f>
        <v>56056.4808164477</v>
      </c>
      <c r="E565" s="71" t="n">
        <f aca="false">0</f>
        <v>0</v>
      </c>
      <c r="F565" s="71" t="n">
        <f aca="false">E564</f>
        <v>0</v>
      </c>
      <c r="G565" s="71" t="n">
        <f aca="false">F564</f>
        <v>0</v>
      </c>
      <c r="H565" s="71" t="n">
        <f aca="false">G564</f>
        <v>0</v>
      </c>
      <c r="I565" s="71" t="n">
        <f aca="false">H564</f>
        <v>0</v>
      </c>
      <c r="J565" s="71" t="n">
        <f aca="false">I564</f>
        <v>0</v>
      </c>
      <c r="K565" s="71" t="n">
        <f aca="false">J564</f>
        <v>0</v>
      </c>
      <c r="L565" s="71" t="n">
        <f aca="false">K564</f>
        <v>0</v>
      </c>
      <c r="M565" s="71" t="n">
        <f aca="false">L564</f>
        <v>0</v>
      </c>
      <c r="N565" s="71" t="n">
        <f aca="false">M564</f>
        <v>0</v>
      </c>
      <c r="O565" s="71" t="n">
        <f aca="false">N564</f>
        <v>0</v>
      </c>
      <c r="P565" s="71" t="n">
        <f aca="false">O564</f>
        <v>1596.19348212798</v>
      </c>
      <c r="Q565" s="71" t="n">
        <f aca="false">P564</f>
        <v>1628.42640905456</v>
      </c>
      <c r="R565" s="71" t="n">
        <f aca="false">Q564</f>
        <v>1436.4281953209</v>
      </c>
      <c r="S565" s="71" t="n">
        <f aca="false">R564</f>
        <v>1893.96599528804</v>
      </c>
      <c r="T565" s="71" t="n">
        <f aca="false">S564</f>
        <v>2031.82317550401</v>
      </c>
      <c r="U565" s="71" t="n">
        <f aca="false">T564</f>
        <v>5845.42945677931</v>
      </c>
      <c r="V565" s="71" t="n">
        <f aca="false">U564</f>
        <v>4450.99012326874</v>
      </c>
      <c r="W565" s="71" t="n">
        <f aca="false">V564</f>
        <v>6829.25495255541</v>
      </c>
      <c r="X565" s="71" t="n">
        <f aca="false">W564</f>
        <v>6609.36312226495</v>
      </c>
      <c r="Y565" s="71" t="n">
        <f aca="false">X564</f>
        <v>5787.77721578945</v>
      </c>
      <c r="Z565" s="71" t="n">
        <f aca="false">Y564</f>
        <v>6823.95232395221</v>
      </c>
      <c r="AA565" s="71" t="n">
        <f aca="false">Z564</f>
        <v>6216.62509713735</v>
      </c>
      <c r="AB565" s="71" t="n">
        <f aca="false">AA564</f>
        <v>6502.44474953273</v>
      </c>
    </row>
    <row r="566" customFormat="false" ht="15" hidden="false" customHeight="false" outlineLevel="0" collapsed="false">
      <c r="A566" s="29" t="s">
        <v>910</v>
      </c>
      <c r="B566" s="60" t="s">
        <v>848</v>
      </c>
      <c r="C566" s="61" t="n">
        <f aca="false">P566</f>
        <v>24402.6405482747</v>
      </c>
      <c r="D566" s="61" t="n">
        <f aca="false">AB566</f>
        <v>119730.675162116</v>
      </c>
      <c r="E566" s="71" t="n">
        <f aca="false">0+E561+E564-E562-E565</f>
        <v>0</v>
      </c>
      <c r="F566" s="71" t="n">
        <f aca="false">E566+F561+F564-F562-F565</f>
        <v>0</v>
      </c>
      <c r="G566" s="71" t="n">
        <f aca="false">F566+G561+G564-G562-G565</f>
        <v>0</v>
      </c>
      <c r="H566" s="71" t="n">
        <f aca="false">G566+H561+H564-H562-H565</f>
        <v>0</v>
      </c>
      <c r="I566" s="71" t="n">
        <f aca="false">H566+I561+I564-I562-I565</f>
        <v>0</v>
      </c>
      <c r="J566" s="71" t="n">
        <f aca="false">I566+J561+J564-J562-J565</f>
        <v>0</v>
      </c>
      <c r="K566" s="71" t="n">
        <f aca="false">J566+K561+K564-K562-K565</f>
        <v>0</v>
      </c>
      <c r="L566" s="71" t="n">
        <f aca="false">K566+L561+L564-L562-L565</f>
        <v>0</v>
      </c>
      <c r="M566" s="71" t="n">
        <f aca="false">L566+M561+M564-M562-M565</f>
        <v>0</v>
      </c>
      <c r="N566" s="71" t="n">
        <f aca="false">M566+N561+N564-N562-N565</f>
        <v>0</v>
      </c>
      <c r="O566" s="71" t="n">
        <f aca="false">N566+O561+O564-O562-O565</f>
        <v>23892.623652884</v>
      </c>
      <c r="P566" s="71" t="n">
        <f aca="false">O566+P561+P564-P562-P565</f>
        <v>24402.6405482747</v>
      </c>
      <c r="Q566" s="71" t="n">
        <f aca="false">P566+Q561+Q564-Q562-Q565</f>
        <v>21717.6772057469</v>
      </c>
      <c r="R566" s="71" t="n">
        <f aca="false">Q566+R561+R564-R562-R565</f>
        <v>29636.902621261</v>
      </c>
      <c r="S566" s="71" t="n">
        <f aca="false">R566+S561+S564-S562-S565</f>
        <v>31793.7661967302</v>
      </c>
      <c r="T566" s="71" t="n">
        <f aca="false">S566+T561+T564-T562-T565</f>
        <v>98916.6855314132</v>
      </c>
      <c r="U566" s="71" t="n">
        <f aca="false">T566+U561+U564-U562-U565</f>
        <v>75305.261175978</v>
      </c>
      <c r="V566" s="71" t="n">
        <f aca="false">U566+V561+V564-V562-V565</f>
        <v>116191.697186568</v>
      </c>
      <c r="W566" s="71" t="n">
        <f aca="false">V566+W561+W564-W562-W565</f>
        <v>112432.044077121</v>
      </c>
      <c r="X566" s="71" t="n">
        <f aca="false">W566+X561+X564-X562-X565</f>
        <v>98456.4323630746</v>
      </c>
      <c r="Y566" s="71" t="n">
        <f aca="false">X566+Y561+Y564-Y562-Y565</f>
        <v>116083.221358222</v>
      </c>
      <c r="Z566" s="71" t="n">
        <f aca="false">Y566+Z561+Z564-Z562-Z565</f>
        <v>105752.030441254</v>
      </c>
      <c r="AA566" s="71" t="n">
        <f aca="false">Z566+AA561+AA564-AA562-AA565</f>
        <v>110614.147968694</v>
      </c>
      <c r="AB566" s="71" t="n">
        <f aca="false">AA566+AB561+AB564-AB562-AB565</f>
        <v>119730.675162116</v>
      </c>
    </row>
    <row r="568" customFormat="false" ht="15" hidden="false" customHeight="false" outlineLevel="0" collapsed="false">
      <c r="A568" s="23" t="s">
        <v>913</v>
      </c>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row>
    <row r="569" customFormat="false" ht="15" hidden="false" customHeight="false" outlineLevel="0" collapsed="false">
      <c r="A569" s="29" t="s">
        <v>914</v>
      </c>
      <c r="B569" s="60" t="s">
        <v>915</v>
      </c>
      <c r="C569" s="66" t="n">
        <f aca="false">SUM(E569:P569)</f>
        <v>8164.15799054263</v>
      </c>
      <c r="D569" s="66" t="n">
        <f aca="false">SUM(Q569:AB569)</f>
        <v>2061.84700945737</v>
      </c>
      <c r="E569" s="72" t="n">
        <f aca="false">E12+E13+E15+E17+E19+E21+E23+E24+E28+E29+E34+E36+E37+E40</f>
        <v>558.7</v>
      </c>
      <c r="F569" s="72" t="n">
        <f aca="false">F12+F13+F15+F17+F19+F21+F23+F24+F28+F29+F34+F36+F37+F40</f>
        <v>561.4</v>
      </c>
      <c r="G569" s="72" t="n">
        <f aca="false">G12+G13+G15+G17+G19+G21+G23+G24+G28+G29+G34+G36+G37+G40</f>
        <v>891</v>
      </c>
      <c r="H569" s="72" t="n">
        <f aca="false">H12+H13+H15+H17+H19+H21+H23+H24+H28+H29+H34+H36+H37+H40</f>
        <v>769.5</v>
      </c>
      <c r="I569" s="72" t="n">
        <f aca="false">I12+I13+I15+I17+I19+I21+I23+I24+I28+I29+I34+I36+I37+I40</f>
        <v>640.6</v>
      </c>
      <c r="J569" s="72" t="n">
        <f aca="false">J12+J13+J15+J17+J19+J21+J23+J24+J28+J29+J34+J36+J37+J40</f>
        <v>768.9</v>
      </c>
      <c r="K569" s="72" t="n">
        <f aca="false">K12+K13+K15+K17+K19+K21+K23+K24+K28+K29+K34+K36+K37+K40</f>
        <v>710.8</v>
      </c>
      <c r="L569" s="72" t="n">
        <f aca="false">L12+L13+L15+L17+L19+L21+L23+L24+L28+L29+L34+L36+L37+L40</f>
        <v>673.5</v>
      </c>
      <c r="M569" s="72" t="n">
        <f aca="false">M12+M13+M15+M17+M19+M21+M23+M24+M28+M29+M34+M36+M37+M40</f>
        <v>728.244436481149</v>
      </c>
      <c r="N569" s="72" t="n">
        <f aca="false">N12+N13+N15+N17+N19+N21+N23+N24+N28+N29+N34+N36+N37+N40</f>
        <v>742.399715471834</v>
      </c>
      <c r="O569" s="72" t="n">
        <f aca="false">O12+O13+O15+O17+O19+O21+O23+O24+O28+O29+O34+O36+O37+O40</f>
        <v>560.19983334714</v>
      </c>
      <c r="P569" s="72" t="n">
        <f aca="false">P12+P13+P15+P17+P19+P21+P23+P24+P28+P29+P34+P36+P37+P40</f>
        <v>558.914005242506</v>
      </c>
      <c r="Q569" s="72" t="n">
        <f aca="false">Q12+Q13+Q15+Q17+Q19+Q21+Q23+Q24+Q28+Q29+Q34+Q36+Q37+Q40</f>
        <v>376.416207787787</v>
      </c>
      <c r="R569" s="72" t="n">
        <f aca="false">R12+R13+R15+R17+R19+R21+R23+R24+R28+R29+R34+R36+R37+R40</f>
        <v>398.100962622626</v>
      </c>
      <c r="S569" s="72" t="n">
        <f aca="false">S12+S13+S15+S17+S19+S21+S23+S24+S28+S29+S34+S36+S37+S40</f>
        <v>427.053759904272</v>
      </c>
      <c r="T569" s="72" t="n">
        <f aca="false">T12+T13+T15+T17+T19+T21+T23+T24+T28+T29+T34+T36+T37+T40</f>
        <v>299.187990506162</v>
      </c>
      <c r="U569" s="72" t="n">
        <f aca="false">U12+U13+U15+U17+U19+U21+U23+U24+U28+U29+U34+U36+U37+U40</f>
        <v>228.029765737129</v>
      </c>
      <c r="V569" s="72" t="n">
        <f aca="false">V12+V13+V15+V17+V19+V21+V23+V24+V28+V29+V34+V36+V37+V40</f>
        <v>220.02491772698</v>
      </c>
      <c r="W569" s="72" t="n">
        <f aca="false">W12+W13+W15+W17+W19+W21+W23+W24+W28+W29+W34+W36+W37+W40</f>
        <v>113.033405172414</v>
      </c>
      <c r="X569" s="72" t="n">
        <f aca="false">X12+X13+X15+X17+X19+X21+X23+X24+X28+X29+X34+X36+X37+X40</f>
        <v>0</v>
      </c>
      <c r="Y569" s="72" t="n">
        <f aca="false">Y12+Y13+Y15+Y17+Y19+Y21+Y23+Y24+Y28+Y29+Y34+Y36+Y37+Y40</f>
        <v>0</v>
      </c>
      <c r="Z569" s="72" t="n">
        <f aca="false">Z12+Z13+Z15+Z17+Z19+Z21+Z23+Z24+Z28+Z29+Z34+Z36+Z37+Z40</f>
        <v>0</v>
      </c>
      <c r="AA569" s="72" t="n">
        <f aca="false">AA12+AA13+AA15+AA17+AA19+AA21+AA23+AA24+AA28+AA29+AA34+AA36+AA37+AA40</f>
        <v>0</v>
      </c>
      <c r="AB569" s="72" t="n">
        <f aca="false">AB12+AB13+AB15+AB17+AB19+AB21+AB23+AB24+AB28+AB29+AB34+AB36+AB37+AB40</f>
        <v>0</v>
      </c>
    </row>
    <row r="570" customFormat="false" ht="15" hidden="false" customHeight="false" outlineLevel="0" collapsed="false">
      <c r="A570" s="29" t="s">
        <v>916</v>
      </c>
      <c r="B570" s="60"/>
      <c r="C570" s="61" t="n">
        <f aca="false">SUM(E570:P570)</f>
        <v>1672360.04084611</v>
      </c>
      <c r="D570" s="61" t="n">
        <f aca="false">SUM(Q570:AB570)</f>
        <v>430773.464840049</v>
      </c>
      <c r="E570" s="71" t="n">
        <f aca="false">E91+E107+E136+E165+E199+E228+E262+E278+E337+E352+E423+E451+E466+E507</f>
        <v>113249.42</v>
      </c>
      <c r="F570" s="71" t="n">
        <f aca="false">F91+F107+F136+F165+F199+F228+F262+F278+F337+F352+F423+F451+F466+F507</f>
        <v>113767.64</v>
      </c>
      <c r="G570" s="71" t="n">
        <f aca="false">G91+G107+G136+G165+G199+G228+G262+G278+G337+G352+G423+G451+G466+G507</f>
        <v>181661.04</v>
      </c>
      <c r="H570" s="71" t="n">
        <f aca="false">H91+H107+H136+H165+H199+H228+H262+H278+H337+H352+H423+H451+H466+H507</f>
        <v>156509.64</v>
      </c>
      <c r="I570" s="71" t="n">
        <f aca="false">I91+I107+I136+I165+I199+I228+I262+I278+I337+I352+I423+I451+I466+I507</f>
        <v>130274.9</v>
      </c>
      <c r="J570" s="71" t="n">
        <f aca="false">J91+J107+J136+J165+J199+J228+J262+J278+J337+J352+J423+J451+J466+J507</f>
        <v>155857.02</v>
      </c>
      <c r="K570" s="71" t="n">
        <f aca="false">K91+K107+K136+K165+K199+K228+K262+K278+K337+K352+K423+K451+K466+K507</f>
        <v>146851.28</v>
      </c>
      <c r="L570" s="71" t="n">
        <f aca="false">L91+L107+L136+L165+L199+L228+L262+L278+L337+L352+L423+L451+L466+L507</f>
        <v>139145.1</v>
      </c>
      <c r="M570" s="71" t="n">
        <f aca="false">M91+M107+M136+M165+M199+M228+M262+M278+M337+M352+M423+M451+M466+M507</f>
        <v>150455.300577005</v>
      </c>
      <c r="N570" s="71" t="n">
        <f aca="false">N91+N107+N136+N165+N199+N228+N262+N278+N337+N352+N423+N451+N466+N507</f>
        <v>153379.781216481</v>
      </c>
      <c r="O570" s="71" t="n">
        <f aca="false">O91+O107+O136+O165+O199+O228+O262+O278+O337+O352+O423+O451+O466+O507</f>
        <v>115737.285569519</v>
      </c>
      <c r="P570" s="71" t="n">
        <f aca="false">P91+P107+P136+P165+P199+P228+P262+P278+P337+P352+P423+P451+P466+P507</f>
        <v>115471.633483102</v>
      </c>
      <c r="Q570" s="71" t="n">
        <f aca="false">Q91+Q107+Q136+Q165+Q199+Q228+Q262+Q278+Q337+Q352+Q423+Q451+Q466+Q507</f>
        <v>79987.1171927845</v>
      </c>
      <c r="R570" s="71" t="n">
        <f aca="false">R91+R107+R136+R165+R199+R228+R262+R278+R337+R352+R423+R451+R466+R507</f>
        <v>83580.5645458731</v>
      </c>
      <c r="S570" s="71" t="n">
        <f aca="false">S91+S107+S136+S165+S199+S228+S262+S278+S337+S352+S423+S451+S466+S507</f>
        <v>89659.1510583003</v>
      </c>
      <c r="T570" s="71" t="n">
        <f aca="false">T91+T107+T136+T165+T199+T228+T262+T278+T337+T352+T423+T451+T466+T507</f>
        <v>62090.5155005473</v>
      </c>
      <c r="U570" s="71" t="n">
        <f aca="false">U91+U107+U136+U165+U199+U228+U262+U278+U337+U352+U423+U451+U466+U507</f>
        <v>47323.0415436604</v>
      </c>
      <c r="V570" s="71" t="n">
        <f aca="false">V91+V107+V136+V165+V199+V228+V262+V278+V337+V352+V423+V451+V466+V507</f>
        <v>45010.0573695729</v>
      </c>
      <c r="W570" s="71" t="n">
        <f aca="false">W91+W107+W136+W165+W199+W228+W262+W278+W337+W352+W423+W451+W466+W507</f>
        <v>23123.0176293103</v>
      </c>
      <c r="X570" s="71" t="n">
        <f aca="false">X91+X107+X136+X165+X199+X228+X262+X278+X337+X352+X423+X451+X466+X507</f>
        <v>0</v>
      </c>
      <c r="Y570" s="71" t="n">
        <f aca="false">Y91+Y107+Y136+Y165+Y199+Y228+Y262+Y278+Y337+Y352+Y423+Y451+Y466+Y507</f>
        <v>0</v>
      </c>
      <c r="Z570" s="71" t="n">
        <f aca="false">Z91+Z107+Z136+Z165+Z199+Z228+Z262+Z278+Z337+Z352+Z423+Z451+Z466+Z507</f>
        <v>0</v>
      </c>
      <c r="AA570" s="71" t="n">
        <f aca="false">AA91+AA107+AA136+AA165+AA199+AA228+AA262+AA278+AA337+AA352+AA423+AA451+AA466+AA507</f>
        <v>0</v>
      </c>
      <c r="AB570" s="71" t="n">
        <f aca="false">AB91+AB107+AB136+AB165+AB199+AB228+AB262+AB278+AB337+AB352+AB423+AB451+AB466+AB507</f>
        <v>0</v>
      </c>
    </row>
    <row r="571" customFormat="false" ht="15" hidden="false" customHeight="false" outlineLevel="0" collapsed="false">
      <c r="A571" s="29" t="s">
        <v>917</v>
      </c>
      <c r="B571" s="60"/>
      <c r="C571" s="61" t="n">
        <f aca="false">SUM(E571:P571)</f>
        <v>1595590.1395951</v>
      </c>
      <c r="D571" s="61" t="n">
        <f aca="false">SUM(Q571:AB571)</f>
        <v>398389.663200728</v>
      </c>
      <c r="E571" s="71" t="n">
        <f aca="false">E92+E108+E137+E166+E200+E229+E263+E279+E338+E353+E424+E452+E467+E508</f>
        <v>107504.033264033</v>
      </c>
      <c r="F571" s="71" t="n">
        <f aca="false">F92+F108+F137+F166+F200+F229+F263+F279+F338+F353+F424+F452+F467+F508</f>
        <v>107971.548856549</v>
      </c>
      <c r="G571" s="71" t="n">
        <f aca="false">G92+G108+G137+G166+G200+G229+G263+G279+G338+G353+G424+G452+G467+G508</f>
        <v>172430.756504168</v>
      </c>
      <c r="H571" s="71" t="n">
        <f aca="false">H92+H108+H137+H166+H200+H229+H263+H279+H338+H353+H424+H452+H467+H508</f>
        <v>148072.54459168</v>
      </c>
      <c r="I571" s="71" t="n">
        <f aca="false">I92+I108+I137+I166+I200+I229+I263+I279+I338+I353+I424+I452+I467+I508</f>
        <v>123250.154516486</v>
      </c>
      <c r="J571" s="71" t="n">
        <f aca="false">J92+J108+J137+J166+J200+J229+J263+J279+J338+J353+J424+J452+J467+J508</f>
        <v>147627.040412858</v>
      </c>
      <c r="K571" s="71" t="n">
        <f aca="false">K92+K108+K137+K166+K200+K229+K263+K279+K338+K353+K424+K452+K467+K508</f>
        <v>141089.203553456</v>
      </c>
      <c r="L571" s="71" t="n">
        <f aca="false">L92+L108+L137+L166+L200+L229+L263+L279+L338+L353+L424+L452+L467+L508</f>
        <v>133704.819392057</v>
      </c>
      <c r="M571" s="71" t="n">
        <f aca="false">M92+M108+M137+M166+M200+M229+M263+M279+M338+M353+M424+M452+M467+M508</f>
        <v>145115.977162355</v>
      </c>
      <c r="N571" s="71" t="n">
        <f aca="false">N92+N108+N137+N166+N200+N229+N263+N279+N338+N353+N424+N452+N467+N508</f>
        <v>146899.892798314</v>
      </c>
      <c r="O571" s="71" t="n">
        <f aca="false">O92+O108+O137+O166+O200+O229+O263+O279+O338+O353+O424+O452+O467+O508</f>
        <v>110839.862333115</v>
      </c>
      <c r="P571" s="71" t="n">
        <f aca="false">P92+P108+P137+P166+P200+P229+P263+P279+P338+P353+P424+P452+P467+P508</f>
        <v>111084.306210034</v>
      </c>
      <c r="Q571" s="71" t="n">
        <f aca="false">Q92+Q108+Q137+Q166+Q200+Q229+Q263+Q279+Q338+Q353+Q424+Q452+Q467+Q508</f>
        <v>74169.6798581128</v>
      </c>
      <c r="R571" s="71" t="n">
        <f aca="false">R92+R108+R137+R166+R200+R229+R263+R279+R338+R353+R424+R452+R467+R508</f>
        <v>77446.5750559755</v>
      </c>
      <c r="S571" s="71" t="n">
        <f aca="false">S92+S108+S137+S166+S200+S229+S263+S279+S338+S353+S424+S452+S467+S508</f>
        <v>83079.0532418647</v>
      </c>
      <c r="T571" s="71" t="n">
        <f aca="false">T92+T108+T137+T166+T200+T229+T263+T279+T338+T353+T424+T452+T467+T508</f>
        <v>57231.3536483258</v>
      </c>
      <c r="U571" s="71" t="n">
        <f aca="false">U92+U108+U137+U166+U200+U229+U263+U279+U338+U353+U424+U452+U467+U508</f>
        <v>43619.5722400754</v>
      </c>
      <c r="V571" s="71" t="n">
        <f aca="false">V92+V108+V137+V166+V200+V229+V263+V279+V338+V353+V424+V452+V467+V508</f>
        <v>41074.0326046496</v>
      </c>
      <c r="W571" s="71" t="n">
        <f aca="false">W92+W108+W137+W166+W200+W229+W263+W279+W338+W353+W424+W452+W467+W508</f>
        <v>21769.3965517241</v>
      </c>
      <c r="X571" s="71" t="n">
        <f aca="false">X92+X108+X137+X166+X200+X229+X263+X279+X338+X353+X424+X452+X467+X508</f>
        <v>0</v>
      </c>
      <c r="Y571" s="71" t="n">
        <f aca="false">Y92+Y108+Y137+Y166+Y200+Y229+Y263+Y279+Y338+Y353+Y424+Y452+Y467+Y508</f>
        <v>0</v>
      </c>
      <c r="Z571" s="71" t="n">
        <f aca="false">Z92+Z108+Z137+Z166+Z200+Z229+Z263+Z279+Z338+Z353+Z424+Z452+Z467+Z508</f>
        <v>0</v>
      </c>
      <c r="AA571" s="71" t="n">
        <f aca="false">AA92+AA108+AA137+AA166+AA200+AA229+AA263+AA279+AA338+AA353+AA424+AA452+AA467+AA508</f>
        <v>0</v>
      </c>
      <c r="AB571" s="71" t="n">
        <f aca="false">AB92+AB108+AB137+AB166+AB200+AB229+AB263+AB279+AB338+AB353+AB424+AB452+AB467+AB508</f>
        <v>0</v>
      </c>
    </row>
    <row r="572" customFormat="false" ht="15" hidden="false" customHeight="false" outlineLevel="0" collapsed="false">
      <c r="A572" s="68" t="s">
        <v>918</v>
      </c>
      <c r="B572" s="69"/>
      <c r="C572" s="70" t="n">
        <f aca="false">SUM(E572:P572)</f>
        <v>1511643.16314216</v>
      </c>
      <c r="D572" s="70" t="n">
        <f aca="false">SUM(Q572:AB572)</f>
        <v>379418.726857836</v>
      </c>
      <c r="E572" s="70" t="n">
        <f aca="false">E94+E110+E139+E168+E202+E231+E265+E281+E340+E355+E426+E454+E469+E510</f>
        <v>102752.78</v>
      </c>
      <c r="F572" s="70" t="n">
        <f aca="false">F94+F110+F139+F168+F202+F231+F265+F281+F340+F355+F426+F454+F469+F510</f>
        <v>106412.8</v>
      </c>
      <c r="G572" s="70" t="n">
        <f aca="false">G94+G110+G139+G168+G202+G231+G265+G281+G340+G355+G426+G454+G469+G510</f>
        <v>151656.7</v>
      </c>
      <c r="H572" s="70" t="n">
        <f aca="false">H94+H110+H139+H168+H202+H231+H265+H281+H340+H355+H426+H454+H469+H510</f>
        <v>135348.27</v>
      </c>
      <c r="I572" s="70" t="n">
        <f aca="false">I94+I110+I139+I168+I202+I231+I265+I281+I340+I355+I426+I454+I469+I510</f>
        <v>120357.34</v>
      </c>
      <c r="J572" s="70" t="n">
        <f aca="false">J94+J110+J139+J168+J202+J231+J265+J281+J340+J355+J426+J454+J469+J510</f>
        <v>142838.26</v>
      </c>
      <c r="K572" s="70" t="n">
        <f aca="false">K94+K110+K139+K168+K202+K231+K265+K281+K340+K355+K426+K454+K469+K510</f>
        <v>137093.06</v>
      </c>
      <c r="L572" s="70" t="n">
        <f aca="false">L94+L110+L139+L168+L202+L231+L265+L281+L340+L355+L426+L454+L469+L510</f>
        <v>129676.44</v>
      </c>
      <c r="M572" s="70" t="n">
        <f aca="false">M94+M110+M139+M168+M202+M231+M265+M281+M340+M355+M426+M454+M469+M510</f>
        <v>132345.024460951</v>
      </c>
      <c r="N572" s="70" t="n">
        <f aca="false">N94+N110+N139+N168+N202+N231+N265+N281+N340+N355+N426+N454+N469+N510</f>
        <v>141090.137929266</v>
      </c>
      <c r="O572" s="70" t="n">
        <f aca="false">O94+O110+O139+O168+O202+O231+O265+O281+O340+O355+O426+O454+O469+O510</f>
        <v>106277.773409057</v>
      </c>
      <c r="P572" s="70" t="n">
        <f aca="false">P94+P110+P139+P168+P202+P231+P265+P281+P340+P355+P426+P454+P469+P510</f>
        <v>105794.57734289</v>
      </c>
      <c r="Q572" s="70" t="n">
        <f aca="false">Q94+Q110+Q139+Q168+Q202+Q231+Q265+Q281+Q340+Q355+Q426+Q454+Q469+Q510</f>
        <v>70637.7903410598</v>
      </c>
      <c r="R572" s="70" t="n">
        <f aca="false">R94+R110+R139+R168+R202+R231+R265+R281+R340+R355+R426+R454+R469+R510</f>
        <v>73758.6429104529</v>
      </c>
      <c r="S572" s="70" t="n">
        <f aca="false">S94+S110+S139+S168+S202+S231+S265+S281+S340+S355+S426+S454+S469+S510</f>
        <v>79122.9078493949</v>
      </c>
      <c r="T572" s="70" t="n">
        <f aca="false">T94+T110+T139+T168+T202+T231+T265+T281+T340+T355+T426+T454+T469+T510</f>
        <v>54506.0510936436</v>
      </c>
      <c r="U572" s="70" t="n">
        <f aca="false">U94+U110+U139+U168+U202+U231+U265+U281+U340+U355+U426+U454+U469+U510</f>
        <v>41542.4497524527</v>
      </c>
      <c r="V572" s="70" t="n">
        <f aca="false">V94+V110+V139+V168+V202+V231+V265+V281+V340+V355+V426+V454+V469+V510</f>
        <v>39118.1262901425</v>
      </c>
      <c r="W572" s="70" t="n">
        <f aca="false">W94+W110+W139+W168+W202+W231+W265+W281+W340+W355+W426+W454+W469+W510</f>
        <v>20732.7586206897</v>
      </c>
      <c r="X572" s="70" t="n">
        <f aca="false">X94+X110+X139+X168+X202+X231+X265+X281+X340+X355+X426+X454+X469+X510</f>
        <v>0</v>
      </c>
      <c r="Y572" s="70" t="n">
        <f aca="false">Y94+Y110+Y139+Y168+Y202+Y231+Y265+Y281+Y340+Y355+Y426+Y454+Y469+Y510</f>
        <v>0</v>
      </c>
      <c r="Z572" s="70" t="n">
        <f aca="false">Z94+Z110+Z139+Z168+Z202+Z231+Z265+Z281+Z340+Z355+Z426+Z454+Z469+Z510</f>
        <v>0</v>
      </c>
      <c r="AA572" s="70" t="n">
        <f aca="false">AA94+AA110+AA139+AA168+AA202+AA231+AA265+AA281+AA340+AA355+AA426+AA454+AA469+AA510</f>
        <v>0</v>
      </c>
      <c r="AB572" s="70" t="n">
        <f aca="false">AB94+AB110+AB139+AB168+AB202+AB231+AB265+AB281+AB340+AB355+AB426+AB454+AB469+AB510</f>
        <v>0</v>
      </c>
    </row>
    <row r="573" customFormat="false" ht="15" hidden="false" customHeight="false" outlineLevel="0" collapsed="false">
      <c r="A573" s="29" t="s">
        <v>919</v>
      </c>
      <c r="B573" s="60" t="s">
        <v>915</v>
      </c>
      <c r="C573" s="66" t="n">
        <f aca="false">SUM(E573:P573)</f>
        <v>25158.7586004493</v>
      </c>
      <c r="D573" s="66" t="n">
        <f aca="false">SUM(Q573:AB573)</f>
        <v>35451.9456227847</v>
      </c>
      <c r="E573" s="72" t="n">
        <f aca="false">E9+E11+E14+E16+E20+E25+E27+E30+E31+E32+E35+E38+E39+E536+E547+E558</f>
        <v>1730.3</v>
      </c>
      <c r="F573" s="72" t="n">
        <f aca="false">F9+F11+F14+F16+F20+F25+F27+F30+F31+F32+F35+F38+F39+F536+F547+F558</f>
        <v>1960.5</v>
      </c>
      <c r="G573" s="72" t="n">
        <f aca="false">G9+G11+G14+G16+G20+G25+G27+G30+G31+G32+G35+G38+G39+G536+G547+G558</f>
        <v>2227.4</v>
      </c>
      <c r="H573" s="72" t="n">
        <f aca="false">H9+H11+H14+H16+H20+H25+H27+H30+H31+H32+H35+H38+H39+H536+H547+H558</f>
        <v>1879.9</v>
      </c>
      <c r="I573" s="72" t="n">
        <f aca="false">I9+I11+I14+I16+I20+I25+I27+I30+I31+I32+I35+I38+I39+I536+I547+I558</f>
        <v>2107.9</v>
      </c>
      <c r="J573" s="72" t="n">
        <f aca="false">J9+J11+J14+J16+J20+J25+J27+J30+J31+J32+J35+J38+J39+J536+J547+J558</f>
        <v>2622.6</v>
      </c>
      <c r="K573" s="72" t="n">
        <f aca="false">K9+K11+K14+K16+K20+K25+K27+K30+K31+K32+K35+K38+K39+K536+K547+K558</f>
        <v>1741.8</v>
      </c>
      <c r="L573" s="72" t="n">
        <f aca="false">L9+L11+L14+L16+L20+L25+L27+L30+L31+L32+L35+L38+L39+L536+L547+L558</f>
        <v>1272.2</v>
      </c>
      <c r="M573" s="72" t="n">
        <f aca="false">M9+M11+M14+M16+M20+M25+M27+M30+M31+M32+M35+M38+M39+M536+M547+M558</f>
        <v>2182.93749989604</v>
      </c>
      <c r="N573" s="72" t="n">
        <f aca="false">N9+N11+N14+N16+N20+N25+N27+N30+N31+N32+N35+N38+N39+N536+N547+N558</f>
        <v>2102.93455487367</v>
      </c>
      <c r="O573" s="72" t="n">
        <f aca="false">O9+O11+O14+O16+O20+O25+O27+O30+O31+O32+O35+O38+O39+O536+O547+O558</f>
        <v>2527.31551063549</v>
      </c>
      <c r="P573" s="72" t="n">
        <f aca="false">P9+P11+P14+P16+P20+P25+P27+P30+P31+P32+P35+P38+P39+P536+P547+P558</f>
        <v>2802.97103504408</v>
      </c>
      <c r="Q573" s="72" t="n">
        <f aca="false">Q9+Q11+Q14+Q16+Q20+Q25+Q27+Q30+Q31+Q32+Q35+Q38+Q39+Q536+Q547+Q558</f>
        <v>2440.10293869586</v>
      </c>
      <c r="R573" s="72" t="n">
        <f aca="false">R9+R11+R14+R16+R20+R25+R27+R30+R31+R32+R35+R38+R39+R536+R547+R558</f>
        <v>2531.91479442764</v>
      </c>
      <c r="S573" s="72" t="n">
        <f aca="false">S9+S11+S14+S16+S20+S25+S27+S30+S31+S32+S35+S38+S39+S536+S547+S558</f>
        <v>2588.71344887188</v>
      </c>
      <c r="T573" s="72" t="n">
        <f aca="false">T9+T11+T14+T16+T20+T25+T27+T30+T31+T32+T35+T38+T39+T536+T547+T558</f>
        <v>3005.42471677072</v>
      </c>
      <c r="U573" s="72" t="n">
        <f aca="false">U9+U11+U14+U16+U20+U25+U27+U30+U31+U32+U35+U38+U39+U536+U547+U558</f>
        <v>2254.82790594778</v>
      </c>
      <c r="V573" s="72" t="n">
        <f aca="false">V9+V11+V14+V16+V20+V25+V27+V30+V31+V32+V35+V38+V39+V536+V547+V558</f>
        <v>3084.40265239681</v>
      </c>
      <c r="W573" s="72" t="n">
        <f aca="false">W9+W11+W14+W16+W20+W25+W27+W30+W31+W32+W35+W38+W39+W536+W547+W558</f>
        <v>3021.36728779551</v>
      </c>
      <c r="X573" s="72" t="n">
        <f aca="false">X9+X11+X14+X16+X20+X25+X27+X30+X31+X32+X35+X38+X39+X536+X547+X558</f>
        <v>2689.41013762444</v>
      </c>
      <c r="Y573" s="72" t="n">
        <f aca="false">Y9+Y11+Y14+Y16+Y20+Y25+Y27+Y30+Y31+Y32+Y35+Y38+Y39+Y536+Y547+Y558</f>
        <v>3371.32881199942</v>
      </c>
      <c r="Z573" s="72" t="n">
        <f aca="false">Z9+Z11+Z14+Z16+Z20+Z25+Z27+Z30+Z31+Z32+Z35+Z38+Z39+Z536+Z547+Z558</f>
        <v>3237.95450132063</v>
      </c>
      <c r="AA573" s="72" t="n">
        <f aca="false">AA9+AA11+AA14+AA16+AA20+AA25+AA27+AA30+AA31+AA32+AA35+AA38+AA39+AA536+AA547+AA558</f>
        <v>3471.4550085584</v>
      </c>
      <c r="AB573" s="72" t="n">
        <f aca="false">AB9+AB11+AB14+AB16+AB20+AB25+AB27+AB30+AB31+AB32+AB35+AB38+AB39+AB536+AB547+AB558</f>
        <v>3755.04341837559</v>
      </c>
    </row>
    <row r="574" customFormat="false" ht="15" hidden="false" customHeight="false" outlineLevel="0" collapsed="false">
      <c r="A574" s="29" t="s">
        <v>920</v>
      </c>
      <c r="B574" s="60"/>
      <c r="C574" s="61" t="n">
        <f aca="false">SUM(E574:P574)</f>
        <v>5036913.85724971</v>
      </c>
      <c r="D574" s="61" t="n">
        <f aca="false">SUM(Q574:AB574)</f>
        <v>7374199.42155017</v>
      </c>
      <c r="E574" s="71" t="n">
        <f aca="false">E45+E76+E121+E150+E213+E292+E322+E365+E378+E391+E436+E479+E492+E537+E548+E559</f>
        <v>349464.5</v>
      </c>
      <c r="F574" s="71" t="n">
        <f aca="false">F45+F76+F121+F150+F213+F292+F322+F365+F378+F391+F436+F479+F492+F537+F548+F559</f>
        <v>394165.03</v>
      </c>
      <c r="G574" s="71" t="n">
        <f aca="false">G45+G76+G121+G150+G213+G292+G322+G365+G378+G391+G436+G479+G492+G537+G548+G559</f>
        <v>447854.68</v>
      </c>
      <c r="H574" s="71" t="n">
        <f aca="false">H45+H76+H121+H150+H213+H292+H322+H365+H378+H391+H436+H479+H492+H537+H548+H559</f>
        <v>377941.41</v>
      </c>
      <c r="I574" s="71" t="n">
        <f aca="false">I45+I76+I121+I150+I213+I292+I322+I365+I378+I391+I436+I479+I492+I537+I548+I559</f>
        <v>422558.78</v>
      </c>
      <c r="J574" s="71" t="n">
        <f aca="false">J45+J76+J121+J150+J213+J292+J322+J365+J378+J391+J436+J479+J492+J537+J548+J559</f>
        <v>525300.23</v>
      </c>
      <c r="K574" s="71" t="n">
        <f aca="false">K45+K76+K121+K150+K213+K292+K322+K365+K378+K391+K436+K479+K492+K537+K548+K559</f>
        <v>348780.53</v>
      </c>
      <c r="L574" s="71" t="n">
        <f aca="false">L45+L76+L121+L150+L213+L292+L322+L365+L378+L391+L436+L479+L492+L537+L548+L559</f>
        <v>254676.17</v>
      </c>
      <c r="M574" s="71" t="n">
        <f aca="false">M45+M76+M121+M150+M213+M292+M322+M365+M378+M391+M436+M479+M492+M537+M548+M559</f>
        <v>435266.606229552</v>
      </c>
      <c r="N574" s="71" t="n">
        <f aca="false">N45+N76+N121+N150+N213+N292+N322+N365+N378+N391+N436+N479+N492+N537+N548+N559</f>
        <v>419314.426943652</v>
      </c>
      <c r="O574" s="71" t="n">
        <f aca="false">O45+O76+O121+O150+O213+O292+O322+O365+O378+O391+O436+O479+O492+O537+O548+O559</f>
        <v>505768.185227889</v>
      </c>
      <c r="P574" s="71" t="n">
        <f aca="false">P45+P76+P121+P150+P213+P292+P322+P365+P378+P391+P436+P479+P492+P537+P548+P559</f>
        <v>555823.308848621</v>
      </c>
      <c r="Q574" s="71" t="n">
        <f aca="false">Q45+Q76+Q121+Q150+Q213+Q292+Q322+Q365+Q378+Q391+Q436+Q479+Q492+Q537+Q548+Q559</f>
        <v>505975.550719385</v>
      </c>
      <c r="R574" s="71" t="n">
        <f aca="false">R45+R76+R121+R150+R213+R292+R322+R365+R378+R391+R436+R479+R492+R537+R548+R559</f>
        <v>525375.992768052</v>
      </c>
      <c r="S574" s="71" t="n">
        <f aca="false">S45+S76+S121+S150+S213+S292+S322+S365+S378+S391+S436+S479+S492+S537+S548+S559</f>
        <v>541786.400602385</v>
      </c>
      <c r="T574" s="71" t="n">
        <f aca="false">T45+T76+T121+T150+T213+T292+T322+T365+T378+T391+T436+T479+T492+T537+T548+T559</f>
        <v>630015.293131886</v>
      </c>
      <c r="U574" s="71" t="n">
        <f aca="false">U45+U76+U121+U150+U213+U292+U322+U365+U378+U391+U436+U479+U492+U537+U548+U559</f>
        <v>472835.37064645</v>
      </c>
      <c r="V574" s="71" t="n">
        <f aca="false">V45+V76+V121+V150+V213+V292+V322+V365+V378+V391+V436+V479+V492+V537+V548+V559</f>
        <v>647352.437093455</v>
      </c>
      <c r="W574" s="71" t="n">
        <f aca="false">W45+W76+W121+W150+W213+W292+W322+W365+W378+W391+W436+W479+W492+W537+W548+W559</f>
        <v>633921.517274953</v>
      </c>
      <c r="X574" s="71" t="n">
        <f aca="false">X45+X76+X121+X150+X213+X292+X322+X365+X378+X391+X436+X479+X492+X537+X548+X559</f>
        <v>564044.07669591</v>
      </c>
      <c r="Y574" s="71" t="n">
        <f aca="false">Y45+Y76+Y121+Y150+Y213+Y292+Y322+Y365+Y378+Y391+Y436+Y479+Y492+Y537+Y548+Y559</f>
        <v>695248.238133192</v>
      </c>
      <c r="Z574" s="71" t="n">
        <f aca="false">Z45+Z76+Z121+Z150+Z213+Z292+Z322+Z365+Z378+Z391+Z436+Z479+Z492+Z537+Z548+Z559</f>
        <v>667590.179075156</v>
      </c>
      <c r="AA574" s="71" t="n">
        <f aca="false">AA45+AA76+AA121+AA150+AA213+AA292+AA322+AA365+AA378+AA391+AA436+AA479+AA492+AA537+AA548+AA559</f>
        <v>715723.148821763</v>
      </c>
      <c r="AB574" s="71" t="n">
        <f aca="false">AB45+AB76+AB121+AB150+AB213+AB292+AB322+AB365+AB378+AB391+AB436+AB479+AB492+AB537+AB548+AB559</f>
        <v>774331.216587582</v>
      </c>
    </row>
    <row r="575" customFormat="false" ht="15" hidden="false" customHeight="false" outlineLevel="0" collapsed="false">
      <c r="A575" s="29" t="s">
        <v>921</v>
      </c>
      <c r="B575" s="60"/>
      <c r="C575" s="61" t="n">
        <f aca="false">SUM(E575:P575)</f>
        <v>4684148.67951763</v>
      </c>
      <c r="D575" s="61" t="n">
        <f aca="false">SUM(Q575:AB575)</f>
        <v>6809854.79717635</v>
      </c>
      <c r="E575" s="71" t="n">
        <f aca="false">E46+E77+E122+E151+E214+E293+E323+E366+E379+E392+E437+E480+E493+E538+E549+E560</f>
        <v>322160.384</v>
      </c>
      <c r="F575" s="71" t="n">
        <f aca="false">F46+F77+F122+F151+F214+F293+F323+F366+F379+F392+F437+F480+F493+F538+F549+F560</f>
        <v>365026.4534</v>
      </c>
      <c r="G575" s="71" t="n">
        <f aca="false">G46+G77+G122+G151+G214+G293+G323+G366+G379+G392+G437+G480+G493+G538+G549+G560</f>
        <v>414929.5976</v>
      </c>
      <c r="H575" s="71" t="n">
        <f aca="false">H46+H77+H122+H151+H214+H293+H323+H366+H379+H392+H437+H480+H493+H538+H549+H560</f>
        <v>350048.0074</v>
      </c>
      <c r="I575" s="71" t="n">
        <f aca="false">I46+I77+I122+I151+I214+I293+I323+I366+I379+I392+I437+I480+I493+I538+I549+I560</f>
        <v>392966.8015</v>
      </c>
      <c r="J575" s="71" t="n">
        <f aca="false">J46+J77+J122+J151+J214+J293+J323+J366+J379+J392+J437+J480+J493+J538+J549+J560</f>
        <v>488778.8941</v>
      </c>
      <c r="K575" s="71" t="n">
        <f aca="false">K46+K77+K122+K151+K214+K293+K323+K366+K379+K392+K437+K480+K493+K538+K549+K560</f>
        <v>325588.2658</v>
      </c>
      <c r="L575" s="71" t="n">
        <f aca="false">L46+L77+L122+L151+L214+L293+L323+L366+L379+L392+L437+L480+L493+L538+L549+L560</f>
        <v>238410.9427</v>
      </c>
      <c r="M575" s="71" t="n">
        <f aca="false">M46+M77+M122+M151+M214+M293+M323+M366+M379+M392+M437+M480+M493+M538+M549+M560</f>
        <v>406928.816767067</v>
      </c>
      <c r="N575" s="71" t="n">
        <f aca="false">N46+N77+N122+N151+N214+N293+N323+N366+N379+N392+N437+N480+N493+N538+N549+N560</f>
        <v>392015.195210158</v>
      </c>
      <c r="O575" s="71" t="n">
        <f aca="false">O46+O77+O122+O151+O214+O293+O323+O366+O379+O392+O437+O480+O493+O538+O549+O560</f>
        <v>469971.155059905</v>
      </c>
      <c r="P575" s="71" t="n">
        <f aca="false">P46+P77+P122+P151+P214+P293+P323+P366+P379+P392+P437+P480+P493+P538+P549+P560</f>
        <v>517324.165980499</v>
      </c>
      <c r="Q575" s="71" t="n">
        <f aca="false">Q46+Q77+Q122+Q151+Q214+Q293+Q323+Q366+Q379+Q392+Q437+Q480+Q493+Q538+Q549+Q560</f>
        <v>470516.50049031</v>
      </c>
      <c r="R575" s="71" t="n">
        <f aca="false">R46+R77+R122+R151+R214+R293+R323+R366+R379+R392+R437+R480+R493+R538+R549+R560</f>
        <v>488521.750732224</v>
      </c>
      <c r="S575" s="71" t="n">
        <f aca="false">S46+S77+S122+S151+S214+S293+S323+S366+S379+S392+S437+S480+S493+S538+S549+S560</f>
        <v>502588.732155673</v>
      </c>
      <c r="T575" s="71" t="n">
        <f aca="false">T46+T77+T122+T151+T214+T293+T323+T366+T379+T392+T437+T480+T493+T538+T549+T560</f>
        <v>583946.668925819</v>
      </c>
      <c r="U575" s="71" t="n">
        <f aca="false">U46+U77+U122+U151+U214+U293+U323+U366+U379+U392+U437+U480+U493+U538+U549+U560</f>
        <v>437947.94794451</v>
      </c>
      <c r="V575" s="71" t="n">
        <f aca="false">V46+V77+V122+V151+V214+V293+V323+V366+V379+V392+V437+V480+V493+V538+V549+V560</f>
        <v>598298.751954712</v>
      </c>
      <c r="W575" s="71" t="n">
        <f aca="false">W46+W77+W122+W151+W214+W293+W323+W366+W379+W392+W437+W480+W493+W538+W549+W560</f>
        <v>584452.534404584</v>
      </c>
      <c r="X575" s="71" t="n">
        <f aca="false">X46+X77+X122+X151+X214+X293+X323+X366+X379+X392+X437+X480+X493+X538+X549+X560</f>
        <v>518920.550560238</v>
      </c>
      <c r="Y575" s="71" t="n">
        <f aca="false">Y46+Y77+Y122+Y151+Y214+Y293+Y323+Y366+Y379+Y392+Y437+Y480+Y493+Y538+Y549+Y560</f>
        <v>639628.379082536</v>
      </c>
      <c r="Z575" s="71" t="n">
        <f aca="false">Z46+Z77+Z122+Z151+Z214+Z293+Z323+Z366+Z379+Z392+Z437+Z480+Z493+Z538+Z549+Z560</f>
        <v>614182.964749144</v>
      </c>
      <c r="AA575" s="71" t="n">
        <f aca="false">AA46+AA77+AA122+AA151+AA214+AA293+AA323+AA366+AA379+AA392+AA437+AA480+AA493+AA538+AA549+AA560</f>
        <v>658465.296916022</v>
      </c>
      <c r="AB575" s="71" t="n">
        <f aca="false">AB46+AB77+AB122+AB151+AB214+AB293+AB323+AB366+AB379+AB392+AB437+AB480+AB493+AB538+AB549+AB560</f>
        <v>712384.719260575</v>
      </c>
    </row>
    <row r="576" customFormat="false" ht="15" hidden="false" customHeight="false" outlineLevel="0" collapsed="false">
      <c r="A576" s="68" t="s">
        <v>922</v>
      </c>
      <c r="B576" s="69"/>
      <c r="C576" s="70" t="n">
        <f aca="false">SUM(E576:P576)</f>
        <v>4527498.12386637</v>
      </c>
      <c r="D576" s="70" t="n">
        <f aca="false">SUM(Q576:AB576)</f>
        <v>6542293.65457088</v>
      </c>
      <c r="E576" s="70" t="n">
        <f aca="false">E47+E78+E123+E152+E215+E294+E324+E367+E380+E393+E438+E481+E494+E539+E550+E561</f>
        <v>313180.65</v>
      </c>
      <c r="F576" s="70" t="n">
        <f aca="false">F47+F78+F123+F152+F215+F294+F324+F367+F380+F393+F438+F481+F494+F539+F550+F561</f>
        <v>352599.55</v>
      </c>
      <c r="G576" s="70" t="n">
        <f aca="false">G47+G78+G123+G152+G215+G294+G324+G367+G380+G393+G438+G481+G494+G539+G550+G561</f>
        <v>406879.62</v>
      </c>
      <c r="H576" s="70" t="n">
        <f aca="false">H47+H78+H123+H152+H215+H294+H324+H367+H380+H393+H438+H481+H494+H539+H550+H561</f>
        <v>340026.17</v>
      </c>
      <c r="I576" s="70" t="n">
        <f aca="false">I47+I78+I123+I152+I215+I294+I324+I367+I380+I393+I438+I481+I494+I539+I550+I561</f>
        <v>383879.05</v>
      </c>
      <c r="J576" s="70" t="n">
        <f aca="false">J47+J78+J123+J152+J215+J294+J324+J367+J380+J393+J438+J481+J494+J539+J550+J561</f>
        <v>475476.89</v>
      </c>
      <c r="K576" s="70" t="n">
        <f aca="false">K47+K78+K123+K152+K215+K294+K324+K367+K380+K393+K438+K481+K494+K539+K550+K561</f>
        <v>301609.1</v>
      </c>
      <c r="L576" s="70" t="n">
        <f aca="false">L47+L78+L123+L152+L215+L294+L324+L367+L380+L393+L438+L481+L494+L539+L550+L561</f>
        <v>232745.98</v>
      </c>
      <c r="M576" s="70" t="n">
        <f aca="false">M47+M78+M123+M152+M215+M294+M324+M367+M380+M393+M438+M481+M494+M539+M550+M561</f>
        <v>392319.418843818</v>
      </c>
      <c r="N576" s="70" t="n">
        <f aca="false">N47+N78+N123+N152+N215+N294+N324+N367+N380+N393+N438+N481+N494+N539+N550+N561</f>
        <v>377941.220247448</v>
      </c>
      <c r="O576" s="70" t="n">
        <f aca="false">O47+O78+O123+O152+O215+O294+O324+O367+O380+O393+O438+O481+O494+O539+O550+O561</f>
        <v>452486.827903297</v>
      </c>
      <c r="P576" s="70" t="n">
        <f aca="false">P47+P78+P123+P152+P215+P294+P324+P367+P380+P393+P438+P481+P494+P539+P550+P561</f>
        <v>498353.646871804</v>
      </c>
      <c r="Q576" s="70" t="n">
        <f aca="false">Q47+Q78+Q123+Q152+Q215+Q294+Q324+Q367+Q380+Q393+Q438+Q481+Q494+Q539+Q550+Q561</f>
        <v>452880.323272661</v>
      </c>
      <c r="R576" s="70" t="n">
        <f aca="false">R47+R78+R123+R152+R215+R294+R324+R367+R380+R393+R438+R481+R494+R539+R550+R561</f>
        <v>470202.378592459</v>
      </c>
      <c r="S576" s="70" t="n">
        <f aca="false">S47+S78+S123+S152+S215+S294+S324+S367+S380+S393+S438+S481+S494+S539+S550+S561</f>
        <v>483795.516969118</v>
      </c>
      <c r="T576" s="70" t="n">
        <f aca="false">T47+T78+T123+T152+T215+T294+T324+T367+T380+T393+T438+T481+T494+T539+T550+T561</f>
        <v>561413.969818937</v>
      </c>
      <c r="U576" s="70" t="n">
        <f aca="false">U47+U78+U123+U152+U215+U294+U324+U367+U380+U393+U438+U481+U494+U539+U550+U561</f>
        <v>420721.596867006</v>
      </c>
      <c r="V576" s="70" t="n">
        <f aca="false">V47+V78+V123+V152+V215+V294+V324+V367+V380+V393+V438+V481+V494+V539+V550+V561</f>
        <v>574366.801876523</v>
      </c>
      <c r="W576" s="70" t="n">
        <f aca="false">W47+W78+W123+W152+W215+W294+W324+W367+W380+W393+W438+W481+W494+W539+W550+W561</f>
        <v>561074.433028401</v>
      </c>
      <c r="X576" s="70" t="n">
        <f aca="false">X47+X78+X123+X152+X215+X294+X324+X367+X380+X393+X438+X481+X494+X539+X550+X561</f>
        <v>498163.728537828</v>
      </c>
      <c r="Y576" s="70" t="n">
        <f aca="false">Y47+Y78+Y123+Y152+Y215+Y294+Y324+Y367+Y380+Y393+Y438+Y481+Y494+Y539+Y550+Y561</f>
        <v>614043.243919235</v>
      </c>
      <c r="Z576" s="70" t="n">
        <f aca="false">Z47+Z78+Z123+Z152+Z215+Z294+Z324+Z367+Z380+Z393+Z438+Z481+Z494+Z539+Z550+Z561</f>
        <v>589615.646159178</v>
      </c>
      <c r="AA576" s="70" t="n">
        <f aca="false">AA47+AA78+AA123+AA152+AA215+AA294+AA324+AA367+AA380+AA393+AA438+AA481+AA494+AA539+AA550+AA561</f>
        <v>632126.685039381</v>
      </c>
      <c r="AB576" s="70" t="n">
        <f aca="false">AB47+AB78+AB123+AB152+AB215+AB294+AB324+AB367+AB380+AB393+AB438+AB481+AB494+AB539+AB550+AB561</f>
        <v>683889.330490152</v>
      </c>
    </row>
    <row r="577" customFormat="false" ht="15" hidden="false" customHeight="false" outlineLevel="0" collapsed="false">
      <c r="A577" s="29" t="s">
        <v>923</v>
      </c>
      <c r="B577" s="60" t="s">
        <v>915</v>
      </c>
      <c r="C577" s="66" t="n">
        <f aca="false">SUM(E577:P577)</f>
        <v>7318.02018635499</v>
      </c>
      <c r="D577" s="66" t="n">
        <f aca="false">SUM(Q577:AB577)</f>
        <v>4173.40481364501</v>
      </c>
      <c r="E577" s="72" t="n">
        <f aca="false">E10+E18+E22+E26+E33+E41</f>
        <v>229.7</v>
      </c>
      <c r="F577" s="72" t="n">
        <f aca="false">F10+F18+F22+F26+F33+F41</f>
        <v>252.9</v>
      </c>
      <c r="G577" s="72" t="n">
        <f aca="false">G10+G18+G22+G26+G33+G41</f>
        <v>472.9</v>
      </c>
      <c r="H577" s="72" t="n">
        <f aca="false">H10+H18+H22+H26+H33+H41</f>
        <v>453.4</v>
      </c>
      <c r="I577" s="72" t="n">
        <f aca="false">I10+I18+I22+I26+I33+I41</f>
        <v>395.4</v>
      </c>
      <c r="J577" s="72" t="n">
        <f aca="false">J10+J18+J22+J26+J33+J41</f>
        <v>526.9</v>
      </c>
      <c r="K577" s="72" t="n">
        <f aca="false">K10+K18+K22+K26+K33+K41</f>
        <v>890.1</v>
      </c>
      <c r="L577" s="72" t="n">
        <f aca="false">L10+L18+L22+L26+L33+L41</f>
        <v>713.8</v>
      </c>
      <c r="M577" s="72" t="n">
        <f aca="false">M10+M18+M22+M26+M33+M41</f>
        <v>1259.57508622823</v>
      </c>
      <c r="N577" s="72" t="n">
        <f aca="false">N10+N18+N22+N26+N33+N41</f>
        <v>840.162386732954</v>
      </c>
      <c r="O577" s="72" t="n">
        <f aca="false">O10+O18+O22+O26+O33+O41</f>
        <v>632.897706877161</v>
      </c>
      <c r="P577" s="72" t="n">
        <f aca="false">P10+P18+P22+P26+P33+P41</f>
        <v>650.285006516644</v>
      </c>
      <c r="Q577" s="72" t="n">
        <f aca="false">Q10+Q18+Q22+Q26+Q33+Q41</f>
        <v>750.613241642629</v>
      </c>
      <c r="R577" s="72" t="n">
        <f aca="false">R10+R18+R22+R26+R33+R41</f>
        <v>774.069905443962</v>
      </c>
      <c r="S577" s="72" t="n">
        <f aca="false">S10+S18+S22+S26+S33+S41</f>
        <v>633.832627839141</v>
      </c>
      <c r="T577" s="72" t="n">
        <f aca="false">T10+T18+T22+T26+T33+T41</f>
        <v>335.092789777913</v>
      </c>
      <c r="U577" s="72" t="n">
        <f aca="false">U10+U18+U22+U26+U33+U41</f>
        <v>255.395045182085</v>
      </c>
      <c r="V577" s="72" t="n">
        <f aca="false">V10+V18+V22+V26+V33+V41</f>
        <v>345.960664040981</v>
      </c>
      <c r="W577" s="72" t="n">
        <f aca="false">W10+W18+W22+W26+W33+W41</f>
        <v>335.092789777913</v>
      </c>
      <c r="X577" s="72" t="n">
        <f aca="false">X10+X18+X22+X26+X33+X41</f>
        <v>293.432605102821</v>
      </c>
      <c r="Y577" s="72" t="n">
        <f aca="false">Y10+Y18+Y22+Y26+Y33+Y41</f>
        <v>345.960664040981</v>
      </c>
      <c r="Z577" s="72" t="n">
        <f aca="false">Z10+Z18+Z22+Z26+Z33+Z41</f>
        <v>103.954480796586</v>
      </c>
      <c r="AA577" s="72" t="n">
        <f aca="false">AA10+AA18+AA22+AA26+AA33+AA41</f>
        <v>0</v>
      </c>
      <c r="AB577" s="72" t="n">
        <f aca="false">AB10+AB18+AB22+AB26+AB33+AB41</f>
        <v>0</v>
      </c>
    </row>
    <row r="578" customFormat="false" ht="15" hidden="false" customHeight="false" outlineLevel="0" collapsed="false">
      <c r="A578" s="29" t="s">
        <v>924</v>
      </c>
      <c r="B578" s="60"/>
      <c r="C578" s="61" t="n">
        <f aca="false">SUM(E578:P578)</f>
        <v>1439454.57065603</v>
      </c>
      <c r="D578" s="61" t="n">
        <f aca="false">SUM(Q578:AB578)</f>
        <v>853745.075917733</v>
      </c>
      <c r="E578" s="71" t="n">
        <f aca="false">E60+E181+E244+E307+E406+E522</f>
        <v>45181.99</v>
      </c>
      <c r="F578" s="71" t="n">
        <f aca="false">F60+F181+F244+F307+F406+F522</f>
        <v>49745.43</v>
      </c>
      <c r="G578" s="71" t="n">
        <f aca="false">G60+G181+G244+G307+G406+G522</f>
        <v>93019.43</v>
      </c>
      <c r="H578" s="71" t="n">
        <f aca="false">H60+H181+H244+H307+H406+H522</f>
        <v>89183.78</v>
      </c>
      <c r="I578" s="71" t="n">
        <f aca="false">I60+I181+I244+I307+I406+I522</f>
        <v>77775.18</v>
      </c>
      <c r="J578" s="71" t="n">
        <f aca="false">J60+J181+J244+J307+J406+J522</f>
        <v>103641.23</v>
      </c>
      <c r="K578" s="71" t="n">
        <f aca="false">K60+K181+K244+K307+K406+K522</f>
        <v>175082.67</v>
      </c>
      <c r="L578" s="71" t="n">
        <f aca="false">L60+L181+L244+L307+L406+L522</f>
        <v>140404.46</v>
      </c>
      <c r="M578" s="71" t="n">
        <f aca="false">M60+M181+M244+M307+M406+M522</f>
        <v>247758.419461093</v>
      </c>
      <c r="N578" s="71" t="n">
        <f aca="false">N60+N181+N244+N307+N406+N522</f>
        <v>165259.941470372</v>
      </c>
      <c r="O578" s="71" t="n">
        <f aca="false">O60+O181+O244+O307+O406+O522</f>
        <v>124490.978942738</v>
      </c>
      <c r="P578" s="71" t="n">
        <f aca="false">P60+P181+P244+P307+P406+P522</f>
        <v>127911.060781824</v>
      </c>
      <c r="Q578" s="71" t="n">
        <f aca="false">Q60+Q181+Q244+Q307+Q406+Q522</f>
        <v>153551.449616349</v>
      </c>
      <c r="R578" s="71" t="n">
        <f aca="false">R60+R181+R244+R307+R406+R522</f>
        <v>158349.93241686</v>
      </c>
      <c r="S578" s="71" t="n">
        <f aca="false">S60+S181+S244+S307+S406+S522</f>
        <v>129661.873011798</v>
      </c>
      <c r="T578" s="71" t="n">
        <f aca="false">T60+T181+T244+T307+T406+T522</f>
        <v>68549.2618192881</v>
      </c>
      <c r="U578" s="71" t="n">
        <f aca="false">U60+U181+U244+U307+U406+U522</f>
        <v>52245.6536028088</v>
      </c>
      <c r="V578" s="71" t="n">
        <f aca="false">V60+V181+V244+V307+V406+V522</f>
        <v>70772.4811215353</v>
      </c>
      <c r="W578" s="71" t="n">
        <f aca="false">W60+W181+W244+W307+W406+W522</f>
        <v>68549.2618192881</v>
      </c>
      <c r="X578" s="71" t="n">
        <f aca="false">X60+X181+X244+X307+X406+X522</f>
        <v>60026.9211606739</v>
      </c>
      <c r="Y578" s="71" t="n">
        <f aca="false">Y60+Y181+Y244+Y307+Y406+Y522</f>
        <v>70772.4811215353</v>
      </c>
      <c r="Z578" s="71" t="n">
        <f aca="false">Z60+Z181+Z244+Z307+Z406+Z522</f>
        <v>21265.760227596</v>
      </c>
      <c r="AA578" s="71" t="n">
        <f aca="false">AA60+AA181+AA244+AA307+AA406+AA522</f>
        <v>0</v>
      </c>
      <c r="AB578" s="71" t="n">
        <f aca="false">AB60+AB181+AB244+AB307+AB406+AB522</f>
        <v>0</v>
      </c>
    </row>
    <row r="579" customFormat="false" ht="15" hidden="false" customHeight="false" outlineLevel="0" collapsed="false">
      <c r="A579" s="29" t="s">
        <v>925</v>
      </c>
      <c r="B579" s="60"/>
      <c r="C579" s="61" t="n">
        <f aca="false">SUM(E579:P579)</f>
        <v>1338861.95050303</v>
      </c>
      <c r="D579" s="61" t="n">
        <f aca="false">SUM(Q579:AB579)</f>
        <v>793652.278954053</v>
      </c>
      <c r="E579" s="71" t="n">
        <f aca="false">E61+E182+E245+E308+E407+E523</f>
        <v>41567.4308</v>
      </c>
      <c r="F579" s="71" t="n">
        <f aca="false">F61+F182+F245+F308+F407+F523</f>
        <v>45765.7956</v>
      </c>
      <c r="G579" s="71" t="n">
        <f aca="false">G61+G182+G245+G308+G407+G523</f>
        <v>86298.191</v>
      </c>
      <c r="H579" s="71" t="n">
        <f aca="false">H61+H182+H245+H308+H407+H523</f>
        <v>82689.9262</v>
      </c>
      <c r="I579" s="71" t="n">
        <f aca="false">I61+I182+I245+I308+I407+I523</f>
        <v>72112.187</v>
      </c>
      <c r="J579" s="71" t="n">
        <f aca="false">J61+J182+J245+J308+J407+J523</f>
        <v>96106.8332</v>
      </c>
      <c r="K579" s="71" t="n">
        <f aca="false">K61+K182+K245+K308+K407+K523</f>
        <v>162539.7011</v>
      </c>
      <c r="L579" s="71" t="n">
        <f aca="false">L61+L182+L245+L308+L407+L523</f>
        <v>130310.2094</v>
      </c>
      <c r="M579" s="71" t="n">
        <f aca="false">M61+M182+M245+M308+M407+M523</f>
        <v>230727.071781458</v>
      </c>
      <c r="N579" s="71" t="n">
        <f aca="false">N61+N182+N245+N308+N407+N523</f>
        <v>154726.245427164</v>
      </c>
      <c r="O579" s="71" t="n">
        <f aca="false">O61+O182+O245+O308+O407+O523</f>
        <v>116410.139124611</v>
      </c>
      <c r="P579" s="71" t="n">
        <f aca="false">P61+P182+P245+P308+P407+P523</f>
        <v>119608.219869793</v>
      </c>
      <c r="Q579" s="71" t="n">
        <f aca="false">Q61+Q182+Q245+Q308+Q407+Q523</f>
        <v>142984.76313028</v>
      </c>
      <c r="R579" s="71" t="n">
        <f aca="false">R61+R182+R245+R308+R407+R523</f>
        <v>147453.036978102</v>
      </c>
      <c r="S579" s="71" t="n">
        <f aca="false">S61+S182+S245+S308+S407+S523</f>
        <v>121003.109468084</v>
      </c>
      <c r="T579" s="71" t="n">
        <f aca="false">T61+T182+T245+T308+T407+T523</f>
        <v>63517.5238211135</v>
      </c>
      <c r="U579" s="71" t="n">
        <f aca="false">U61+U182+U245+U308+U407+U523</f>
        <v>48410.6532906865</v>
      </c>
      <c r="V579" s="71" t="n">
        <f aca="false">V61+V182+V245+V308+V407+V523</f>
        <v>65577.5516207172</v>
      </c>
      <c r="W579" s="71" t="n">
        <f aca="false">W61+W182+W245+W308+W407+W523</f>
        <v>63517.5238211135</v>
      </c>
      <c r="X579" s="71" t="n">
        <f aca="false">X61+X182+X245+X308+X407+X523</f>
        <v>55620.7505892994</v>
      </c>
      <c r="Y579" s="71" t="n">
        <f aca="false">Y61+Y182+Y245+Y308+Y407+Y523</f>
        <v>65577.5516207172</v>
      </c>
      <c r="Z579" s="71" t="n">
        <f aca="false">Z61+Z182+Z245+Z308+Z407+Z523</f>
        <v>19989.8146139403</v>
      </c>
      <c r="AA579" s="71" t="n">
        <f aca="false">AA61+AA182+AA245+AA308+AA407+AA523</f>
        <v>0</v>
      </c>
      <c r="AB579" s="71" t="n">
        <f aca="false">AB61+AB182+AB245+AB308+AB407+AB523</f>
        <v>0</v>
      </c>
    </row>
    <row r="580" customFormat="false" ht="15" hidden="false" customHeight="false" outlineLevel="0" collapsed="false">
      <c r="A580" s="68" t="s">
        <v>926</v>
      </c>
      <c r="B580" s="69"/>
      <c r="C580" s="70" t="n">
        <f aca="false">SUM(E580:P580)</f>
        <v>1215420.49607693</v>
      </c>
      <c r="D580" s="70" t="n">
        <f aca="false">SUM(Q580:AB580)</f>
        <v>733143.603923071</v>
      </c>
      <c r="E580" s="70" t="n">
        <f aca="false">E64+E185+E248+E311+E410+E526</f>
        <v>41567.43</v>
      </c>
      <c r="F580" s="70" t="n">
        <f aca="false">F64+F185+F248+F311+F410+F526</f>
        <v>37171.67</v>
      </c>
      <c r="G580" s="70" t="n">
        <f aca="false">G64+G185+G248+G311+G410+G526</f>
        <v>68439.58</v>
      </c>
      <c r="H580" s="70" t="n">
        <f aca="false">H64+H185+H248+H311+H410+H526</f>
        <v>64930.57</v>
      </c>
      <c r="I580" s="70" t="n">
        <f aca="false">I64+I185+I248+I311+I410+I526</f>
        <v>54642.02</v>
      </c>
      <c r="J580" s="70" t="n">
        <f aca="false">J64+J185+J248+J311+J410+J526</f>
        <v>83233.52</v>
      </c>
      <c r="K580" s="70" t="n">
        <f aca="false">K64+K185+K248+K311+K410+K526</f>
        <v>151509.57</v>
      </c>
      <c r="L580" s="70" t="n">
        <f aca="false">L64+L185+L248+L311+L410+L526</f>
        <v>121263.82</v>
      </c>
      <c r="M580" s="70" t="n">
        <f aca="false">M64+M185+M248+M311+M410+M526</f>
        <v>209558.519946859</v>
      </c>
      <c r="N580" s="70" t="n">
        <f aca="false">N64+N185+N248+N311+N410+N526</f>
        <v>151119.997265701</v>
      </c>
      <c r="O580" s="70" t="n">
        <f aca="false">O64+O185+O248+O311+O410+O526</f>
        <v>114420.193477819</v>
      </c>
      <c r="P580" s="70" t="n">
        <f aca="false">P64+P185+P248+P311+P410+P526</f>
        <v>117563.60538655</v>
      </c>
      <c r="Q580" s="70" t="n">
        <f aca="false">Q64+Q185+Q248+Q311+Q410+Q526</f>
        <v>133472.931882227</v>
      </c>
      <c r="R580" s="70" t="n">
        <f aca="false">R64+R185+R248+R311+R410+R526</f>
        <v>137643.961003547</v>
      </c>
      <c r="S580" s="70" t="n">
        <f aca="false">S64+S185+S248+S311+S410+S526</f>
        <v>112334.614316299</v>
      </c>
      <c r="T580" s="70" t="n">
        <f aca="false">T64+T185+T248+T311+T410+T526</f>
        <v>58021.8368657675</v>
      </c>
      <c r="U580" s="70" t="n">
        <f aca="false">U64+U185+U248+U311+U410+U526</f>
        <v>44222.0486382336</v>
      </c>
      <c r="V580" s="70" t="n">
        <f aca="false">V64+V185+V248+V311+V410+V526</f>
        <v>59903.6261695221</v>
      </c>
      <c r="W580" s="70" t="n">
        <f aca="false">W64+W185+W248+W311+W410+W526</f>
        <v>58021.8368657675</v>
      </c>
      <c r="X580" s="70" t="n">
        <f aca="false">X64+X185+X248+X311+X410+X526</f>
        <v>50808.3112013747</v>
      </c>
      <c r="Y580" s="70" t="n">
        <f aca="false">Y64+Y185+Y248+Y311+Y410+Y526</f>
        <v>59903.6261695221</v>
      </c>
      <c r="Z580" s="70" t="n">
        <f aca="false">Z64+Z185+Z248+Z311+Z410+Z526</f>
        <v>18810.8108108108</v>
      </c>
      <c r="AA580" s="70" t="n">
        <f aca="false">AA64+AA185+AA248+AA311+AA410+AA526</f>
        <v>0</v>
      </c>
      <c r="AB580" s="70" t="n">
        <f aca="false">AB64+AB185+AB248+AB311+AB410+AB526</f>
        <v>0</v>
      </c>
    </row>
    <row r="581" customFormat="false" ht="15" hidden="false" customHeight="false" outlineLevel="0" collapsed="false">
      <c r="A581" s="29" t="s">
        <v>492</v>
      </c>
      <c r="B581" s="60"/>
      <c r="C581" s="66" t="n">
        <f aca="false">SUM(E581:P581)</f>
        <v>16028.949252772</v>
      </c>
      <c r="D581" s="66" t="n">
        <f aca="false">SUM(Q581:AB581)</f>
        <v>16299.0915431737</v>
      </c>
      <c r="E581" s="72" t="n">
        <f aca="false">E10+E12+E14+E17+E20+E21+E24+E25+E26+E29+E33+E35+E39+E41+E536</f>
        <v>986.3</v>
      </c>
      <c r="F581" s="72" t="n">
        <f aca="false">F10+F12+F14+F17+F20+F21+F24+F25+F26+F29+F33+F35+F39+F41+F536</f>
        <v>1019.3</v>
      </c>
      <c r="G581" s="72" t="n">
        <f aca="false">G10+G12+G14+G17+G20+G21+G24+G25+G26+G29+G33+G35+G39+G41+G536</f>
        <v>1420</v>
      </c>
      <c r="H581" s="72" t="n">
        <f aca="false">H10+H12+H14+H17+H20+H21+H24+H25+H26+H29+H33+H35+H39+H41+H536</f>
        <v>1196.8</v>
      </c>
      <c r="I581" s="72" t="n">
        <f aca="false">I10+I12+I14+I17+I20+I21+I24+I25+I26+I29+I33+I35+I39+I41+I536</f>
        <v>1381.8</v>
      </c>
      <c r="J581" s="72" t="n">
        <f aca="false">J10+J12+J14+J17+J20+J21+J24+J25+J26+J29+J33+J35+J39+J41+J536</f>
        <v>1724.4</v>
      </c>
      <c r="K581" s="72" t="n">
        <f aca="false">K10+K12+K14+K17+K20+K21+K24+K25+K26+K29+K33+K35+K39+K41+K536</f>
        <v>1303.1</v>
      </c>
      <c r="L581" s="72" t="n">
        <f aca="false">L10+L12+L14+L17+L20+L21+L24+L25+L26+L29+L33+L35+L39+L41+L536</f>
        <v>1129.9</v>
      </c>
      <c r="M581" s="72" t="n">
        <f aca="false">M10+M12+M14+M17+M20+M21+M24+M25+M26+M29+M33+M35+M39+M41+M536</f>
        <v>1579.23819961997</v>
      </c>
      <c r="N581" s="72" t="n">
        <f aca="false">N10+N12+N14+N17+N20+N21+N24+N25+N26+N29+N33+N35+N39+N41+N536</f>
        <v>1364.71769299992</v>
      </c>
      <c r="O581" s="72" t="n">
        <f aca="false">O10+O12+O14+O17+O20+O21+O24+O25+O26+O29+O33+O35+O39+O41+O536</f>
        <v>1458.59126788428</v>
      </c>
      <c r="P581" s="72" t="n">
        <f aca="false">P10+P12+P14+P17+P20+P21+P24+P25+P26+P29+P33+P35+P39+P41+P536</f>
        <v>1464.80209226779</v>
      </c>
      <c r="Q581" s="72" t="n">
        <f aca="false">Q10+Q12+Q14+Q17+Q20+Q21+Q24+Q25+Q26+Q29+Q33+Q35+Q39+Q41+Q536</f>
        <v>1283.68907375845</v>
      </c>
      <c r="R581" s="72" t="n">
        <f aca="false">R10+R12+R14+R17+R20+R21+R24+R25+R26+R29+R33+R35+R39+R41+R536</f>
        <v>1323.61596508174</v>
      </c>
      <c r="S581" s="72" t="n">
        <f aca="false">S10+S12+S14+S17+S20+S21+S24+S25+S26+S29+S33+S35+S39+S41+S536</f>
        <v>1440.68120464364</v>
      </c>
      <c r="T581" s="72" t="n">
        <f aca="false">T10+T12+T14+T17+T20+T21+T24+T25+T26+T29+T33+T35+T39+T41+T536</f>
        <v>1439.94960074835</v>
      </c>
      <c r="U581" s="72" t="n">
        <f aca="false">U10+U12+U14+U17+U20+U21+U24+U25+U26+U29+U33+U35+U39+U41+U536</f>
        <v>1097.48065376908</v>
      </c>
      <c r="V581" s="72" t="n">
        <f aca="false">V10+V12+V14+V17+V20+V21+V24+V25+V26+V29+V33+V35+V39+V41+V536</f>
        <v>1486.66443746302</v>
      </c>
      <c r="W581" s="72" t="n">
        <f aca="false">W10+W12+W14+W17+W20+W21+W24+W25+W26+W29+W33+W35+W39+W41+W536</f>
        <v>1394.2151989245</v>
      </c>
      <c r="X581" s="72" t="n">
        <f aca="false">X10+X12+X14+X17+X20+X21+X24+X25+X26+X29+X33+X35+X39+X41+X536</f>
        <v>1185.35862842942</v>
      </c>
      <c r="Y581" s="72" t="n">
        <f aca="false">Y10+Y12+Y14+Y17+Y20+Y21+Y24+Y25+Y26+Y29+Y33+Y35+Y39+Y41+Y536</f>
        <v>1497.78917966498</v>
      </c>
      <c r="Z581" s="72" t="n">
        <f aca="false">Z10+Z12+Z14+Z17+Z20+Z21+Z24+Z25+Z26+Z29+Z33+Z35+Z39+Z41+Z536</f>
        <v>1321.09386396455</v>
      </c>
      <c r="AA581" s="72" t="n">
        <f aca="false">AA10+AA12+AA14+AA17+AA20+AA21+AA24+AA25+AA26+AA29+AA33+AA35+AA39+AA41+AA536</f>
        <v>1358.90801809913</v>
      </c>
      <c r="AB581" s="72" t="n">
        <f aca="false">AB10+AB12+AB14+AB17+AB20+AB21+AB24+AB25+AB26+AB29+AB33+AB35+AB39+AB41+AB536</f>
        <v>1469.6457186268</v>
      </c>
    </row>
    <row r="582" customFormat="false" ht="15" hidden="false" customHeight="false" outlineLevel="0" collapsed="false">
      <c r="A582" s="29" t="s">
        <v>927</v>
      </c>
      <c r="B582" s="60"/>
      <c r="C582" s="61" t="n">
        <f aca="false">SUM(E582:P582)</f>
        <v>3196984.28502927</v>
      </c>
      <c r="D582" s="61" t="n">
        <f aca="false">SUM(Q582:AB582)</f>
        <v>3376391.69042612</v>
      </c>
      <c r="E582" s="71" t="n">
        <f aca="false">E60+E91+E121+E165+E213+E228+E278+E292+E307+E352+E406+E436+E492+E522+E537</f>
        <v>196084.21</v>
      </c>
      <c r="F582" s="71" t="n">
        <f aca="false">F60+F91+F121+F165+F213+F228+F278+F292+F307+F352+F406+F436+F492+F522+F537</f>
        <v>202602.04</v>
      </c>
      <c r="G582" s="71" t="n">
        <f aca="false">G60+G91+G121+G165+G213+G228+G278+G292+G307+G352+G406+G436+G492+G522+G537</f>
        <v>284376.86</v>
      </c>
      <c r="H582" s="71" t="n">
        <f aca="false">H60+H91+H121+H165+H213+H228+H278+H292+H307+H352+H406+H436+H492+H522+H537</f>
        <v>239235.92</v>
      </c>
      <c r="I582" s="71" t="n">
        <f aca="false">I60+I91+I121+I165+I213+I228+I278+I292+I307+I352+I406+I436+I492+I522+I537</f>
        <v>274911.63</v>
      </c>
      <c r="J582" s="71" t="n">
        <f aca="false">J60+J91+J121+J165+J213+J228+J278+J292+J307+J352+J406+J436+J492+J522+J537</f>
        <v>342365.4</v>
      </c>
      <c r="K582" s="71" t="n">
        <f aca="false">K60+K91+K121+K165+K213+K228+K278+K292+K307+K352+K406+K436+K492+K522+K537</f>
        <v>260051.08</v>
      </c>
      <c r="L582" s="71" t="n">
        <f aca="false">L60+L91+L121+L165+L213+L228+L278+L292+L307+L352+L406+L436+L492+L522+L537</f>
        <v>226329.14</v>
      </c>
      <c r="M582" s="71" t="n">
        <f aca="false">M60+M91+M121+M165+M213+M228+M278+M292+M307+M352+M406+M436+M492+M522+M537</f>
        <v>314118.126786411</v>
      </c>
      <c r="N582" s="71" t="n">
        <f aca="false">N60+N91+N121+N165+N213+N228+N278+N292+N307+N352+N406+N436+N492+N522+N537</f>
        <v>273938.746751095</v>
      </c>
      <c r="O582" s="71" t="n">
        <f aca="false">O60+O91+O121+O165+O213+O228+O278+O292+O307+O352+O406+O436+O492+O522+O537</f>
        <v>290955.852879476</v>
      </c>
      <c r="P582" s="71" t="n">
        <f aca="false">P60+P91+P121+P165+P213+P228+P278+P292+P307+P352+P406+P436+P492+P522+P537</f>
        <v>292015.278612291</v>
      </c>
      <c r="Q582" s="71" t="n">
        <f aca="false">Q60+Q91+Q121+Q165+Q213+Q228+Q278+Q292+Q307+Q352+Q406+Q436+Q492+Q522+Q537</f>
        <v>267396.805012155</v>
      </c>
      <c r="R582" s="71" t="n">
        <f aca="false">R60+R91+R121+R165+R213+R228+R278+R292+R307+R352+R406+R436+R492+R522+R537</f>
        <v>275695.965158965</v>
      </c>
      <c r="S582" s="71" t="n">
        <f aca="false">S60+S91+S121+S165+S213+S228+S278+S292+S307+S352+S406+S436+S492+S522+S537</f>
        <v>299985.74942392</v>
      </c>
      <c r="T582" s="71" t="n">
        <f aca="false">T60+T91+T121+T165+T213+T228+T278+T292+T307+T352+T406+T436+T492+T522+T537</f>
        <v>300057.989903078</v>
      </c>
      <c r="U582" s="71" t="n">
        <f aca="false">U60+U91+U121+U165+U213+U228+U278+U292+U307+U352+U406+U436+U492+U522+U537</f>
        <v>228694.341932524</v>
      </c>
      <c r="V582" s="71" t="n">
        <f aca="false">V60+V91+V121+V165+V213+V228+V278+V292+V307+V352+V406+V436+V492+V522+V537</f>
        <v>309793.187311853</v>
      </c>
      <c r="W582" s="71" t="n">
        <f aca="false">W60+W91+W121+W165+W213+W228+W278+W292+W307+W352+W406+W436+W492+W522+W537</f>
        <v>290703.068785049</v>
      </c>
      <c r="X582" s="71" t="n">
        <f aca="false">X60+X91+X121+X165+X213+X228+X278+X292+X307+X352+X406+X436+X492+X522+X537</f>
        <v>247294.994815483</v>
      </c>
      <c r="Y582" s="71" t="n">
        <f aca="false">Y60+Y91+Y121+Y165+Y213+Y228+Y278+Y292+Y307+Y352+Y406+Y436+Y492+Y522+Y537</f>
        <v>306679.54214772</v>
      </c>
      <c r="Z582" s="71" t="n">
        <f aca="false">Z60+Z91+Z121+Z165+Z213+Z228+Z278+Z292+Z307+Z352+Z406+Z436+Z492+Z522+Z537</f>
        <v>270569.802718263</v>
      </c>
      <c r="AA582" s="71" t="n">
        <f aca="false">AA60+AA91+AA121+AA165+AA213+AA228+AA278+AA292+AA307+AA352+AA406+AA436+AA492+AA522+AA537</f>
        <v>278383.302252459</v>
      </c>
      <c r="AB582" s="71" t="n">
        <f aca="false">AB60+AB91+AB121+AB165+AB213+AB228+AB278+AB292+AB307+AB352+AB406+AB436+AB492+AB522+AB537</f>
        <v>301136.940964652</v>
      </c>
    </row>
    <row r="583" customFormat="false" ht="15" hidden="false" customHeight="false" outlineLevel="0" collapsed="false">
      <c r="A583" s="68" t="s">
        <v>495</v>
      </c>
      <c r="B583" s="69"/>
      <c r="C583" s="70" t="n">
        <f aca="false">SUM(E583:P583)</f>
        <v>2803976.01215524</v>
      </c>
      <c r="D583" s="70" t="n">
        <f aca="false">SUM(Q583:AB583)</f>
        <v>2976637.88064108</v>
      </c>
      <c r="E583" s="70" t="n">
        <f aca="false">E64+E94+E123+E168+E215+E231+E281+E294+E311+E355+E410+E438+E494+E526+E539</f>
        <v>179600.47</v>
      </c>
      <c r="F583" s="70" t="n">
        <f aca="false">F64+F94+F123+F168+F215+F231+F281+F294+F311+F355+F410+F438+F494+F526+F539</f>
        <v>174140.98</v>
      </c>
      <c r="G583" s="70" t="n">
        <f aca="false">G64+G94+G123+G168+G215+G231+G281+G294+G311+G355+G410+G438+G494+G526+G539</f>
        <v>231936.67</v>
      </c>
      <c r="H583" s="70" t="n">
        <f aca="false">H64+H94+H123+H168+H215+H231+H281+H294+H311+H355+H410+H438+H494+H526+H539</f>
        <v>200736.68</v>
      </c>
      <c r="I583" s="70" t="n">
        <f aca="false">I64+I94+I123+I168+I215+I231+I281+I294+I311+I355+I410+I438+I494+I526+I539</f>
        <v>236921.74</v>
      </c>
      <c r="J583" s="70" t="n">
        <f aca="false">J64+J94+J123+J168+J215+J231+J281+J294+J311+J355+J410+J438+J494+J526+J539</f>
        <v>305796.59</v>
      </c>
      <c r="K583" s="70" t="n">
        <f aca="false">K64+K94+K123+K168+K215+K231+K281+K294+K311+K355+K410+K438+K494+K526+K539</f>
        <v>218257.96</v>
      </c>
      <c r="L583" s="70" t="n">
        <f aca="false">L64+L94+L123+L168+L215+L231+L281+L294+L311+L355+L410+L438+L494+L526+L539</f>
        <v>203837.75</v>
      </c>
      <c r="M583" s="70" t="n">
        <f aca="false">M64+M94+M123+M168+M215+M231+M281+M294+M311+M355+M410+M438+M494+M526+M539</f>
        <v>272926.820415398</v>
      </c>
      <c r="N583" s="70" t="n">
        <f aca="false">N64+N94+N123+N168+N215+N231+N281+N294+N311+N355+N410+N438+N494+N526+N539</f>
        <v>251180.526276533</v>
      </c>
      <c r="O583" s="70" t="n">
        <f aca="false">O64+O94+O123+O168+O215+O231+O281+O294+O311+O355+O410+O438+O494+O526+O539</f>
        <v>264604.253457491</v>
      </c>
      <c r="P583" s="70" t="n">
        <f aca="false">P64+P94+P123+P168+P215+P231+P281+P294+P311+P355+P410+P438+P494+P526+P539</f>
        <v>264035.57200582</v>
      </c>
      <c r="Q583" s="70" t="n">
        <f aca="false">Q64+Q94+Q123+Q168+Q215+Q231+Q281+Q294+Q311+Q355+Q410+Q438+Q494+Q526+Q539</f>
        <v>236364.243622644</v>
      </c>
      <c r="R583" s="70" t="n">
        <f aca="false">R64+R94+R123+R168+R215+R231+R281+R294+R311+R355+R410+R438+R494+R526+R539</f>
        <v>243700.292659179</v>
      </c>
      <c r="S583" s="70" t="n">
        <f aca="false">S64+S94+S123+S168+S215+S231+S281+S294+S311+S355+S410+S438+S494+S526+S539</f>
        <v>265197.373534681</v>
      </c>
      <c r="T583" s="70" t="n">
        <f aca="false">T64+T94+T123+T168+T215+T231+T281+T294+T311+T355+T410+T438+T494+T526+T539</f>
        <v>265033.010145931</v>
      </c>
      <c r="U583" s="70" t="n">
        <f aca="false">U64+U94+U123+U168+U215+U231+U281+U294+U311+U355+U410+U438+U494+U526+U539</f>
        <v>201999.452948092</v>
      </c>
      <c r="V583" s="70" t="n">
        <f aca="false">V64+V94+V123+V168+V215+V231+V281+V294+V311+V355+V410+V438+V494+V526+V539</f>
        <v>273631.843312395</v>
      </c>
      <c r="W583" s="70" t="n">
        <f aca="false">W64+W94+W123+W168+W215+W231+W281+W294+W311+W355+W410+W438+W494+W526+W539</f>
        <v>255423.02814909</v>
      </c>
      <c r="X583" s="70" t="n">
        <f aca="false">X64+X94+X123+X168+X215+X231+X281+X294+X311+X355+X410+X438+X494+X526+X539</f>
        <v>216203.473853302</v>
      </c>
      <c r="Y583" s="70" t="n">
        <f aca="false">Y64+Y94+Y123+Y168+Y215+Y231+Y281+Y294+Y311+Y355+Y410+Y438+Y494+Y526+Y539</f>
        <v>268256.742467848</v>
      </c>
      <c r="Z583" s="70" t="n">
        <f aca="false">Z64+Z94+Z123+Z168+Z215+Z231+Z281+Z294+Z311+Z355+Z410+Z438+Z494+Z526+Z539</f>
        <v>238996.141138568</v>
      </c>
      <c r="AA583" s="70" t="n">
        <f aca="false">AA64+AA94+AA123+AA168+AA215+AA231+AA281+AA294+AA311+AA355+AA410+AA438+AA494+AA526+AA539</f>
        <v>245868.132549372</v>
      </c>
      <c r="AB583" s="70" t="n">
        <f aca="false">AB64+AB94+AB123+AB168+AB215+AB231+AB281+AB294+AB311+AB355+AB410+AB438+AB494+AB526+AB539</f>
        <v>265964.146259981</v>
      </c>
    </row>
    <row r="584" customFormat="false" ht="15" hidden="false" customHeight="false" outlineLevel="0" collapsed="false">
      <c r="A584" s="29" t="s">
        <v>928</v>
      </c>
      <c r="B584" s="60"/>
      <c r="C584" s="61" t="n">
        <f aca="false">SUM(E584:P584)</f>
        <v>164569.358634424</v>
      </c>
      <c r="D584" s="61" t="n">
        <f aca="false">SUM(Q584:AB584)</f>
        <v>213326.894824607</v>
      </c>
      <c r="E584" s="71" t="n">
        <f aca="false">E68+E127+E219+E298+E315+E414+E442+E498+E530+E542</f>
        <v>9771.5</v>
      </c>
      <c r="F584" s="71" t="n">
        <f aca="false">F68+F127+F219+F298+F315+F414+F442+F498+F530+F542</f>
        <v>11797.17</v>
      </c>
      <c r="G584" s="71" t="n">
        <f aca="false">G68+G127+G219+G298+G315+G414+G442+G498+G530+G542</f>
        <v>11438.06</v>
      </c>
      <c r="H584" s="71" t="n">
        <f aca="false">H68+H127+H219+H298+H315+H414+H442+H498+H530+H542</f>
        <v>11514.74</v>
      </c>
      <c r="I584" s="71" t="n">
        <f aca="false">I68+I127+I219+I298+I315+I414+I442+I498+I530+I542</f>
        <v>15346.75</v>
      </c>
      <c r="J584" s="71" t="n">
        <f aca="false">J68+J127+J219+J298+J315+J414+J442+J498+J530+J542</f>
        <v>20102.92</v>
      </c>
      <c r="K584" s="71" t="n">
        <f aca="false">K68+K127+K219+K298+K315+K414+K442+K498+K530+K542</f>
        <v>14142.81</v>
      </c>
      <c r="L584" s="71" t="n">
        <f aca="false">L68+L127+L219+L298+L315+L414+L442+L498+L530+L542</f>
        <v>9371.75</v>
      </c>
      <c r="M584" s="71" t="n">
        <f aca="false">M68+M127+M219+M298+M315+M414+M442+M498+M530+M542</f>
        <v>18298.238301921</v>
      </c>
      <c r="N584" s="71" t="n">
        <f aca="false">N68+N127+N219+N298+N315+N414+N442+N498+N530+N542</f>
        <v>11655.6180500181</v>
      </c>
      <c r="O584" s="71" t="n">
        <f aca="false">O68+O127+O219+O298+O315+O414+O442+O498+O530+O542</f>
        <v>14640.1421608437</v>
      </c>
      <c r="P584" s="71" t="n">
        <f aca="false">P68+P127+P219+P298+P315+P414+P442+P498+P530+P542</f>
        <v>16489.6601216414</v>
      </c>
      <c r="Q584" s="71" t="n">
        <f aca="false">Q68+Q127+Q219+Q298+Q315+Q414+Q442+Q498+Q530+Q542</f>
        <v>18948.418638763</v>
      </c>
      <c r="R584" s="71" t="n">
        <f aca="false">R68+R127+R219+R298+R315+R414+R442+R498+R530+R542</f>
        <v>19538.4222372397</v>
      </c>
      <c r="S584" s="71" t="n">
        <f aca="false">S68+S127+S219+S298+S315+S414+S442+S498+S530+S542</f>
        <v>21086.1688055431</v>
      </c>
      <c r="T584" s="71" t="n">
        <f aca="false">T68+T127+T219+T298+T315+T414+T442+T498+T530+T542</f>
        <v>19944.3308245625</v>
      </c>
      <c r="U584" s="71" t="n">
        <f aca="false">U68+U127+U219+U298+U315+U414+U442+U498+U530+U542</f>
        <v>15200.8772157432</v>
      </c>
      <c r="V584" s="71" t="n">
        <f aca="false">V68+V127+V219+V298+V315+V414+V442+V498+V530+V542</f>
        <v>20591.3299844775</v>
      </c>
      <c r="W584" s="71" t="n">
        <f aca="false">W68+W127+W219+W298+W315+W414+W442+W498+W530+W542</f>
        <v>18719.3111804557</v>
      </c>
      <c r="X584" s="71" t="n">
        <f aca="false">X68+X127+X219+X298+X315+X414+X442+X498+X530+X542</f>
        <v>14343.158601705</v>
      </c>
      <c r="Y584" s="71" t="n">
        <f aca="false">Y68+Y127+Y219+Y298+Y315+Y414+Y442+Y498+Y530+Y542</f>
        <v>18046.4431355148</v>
      </c>
      <c r="Z584" s="71" t="n">
        <f aca="false">Z68+Z127+Z219+Z298+Z315+Z414+Z442+Z498+Z530+Z542</f>
        <v>14860.9203634979</v>
      </c>
      <c r="AA584" s="71" t="n">
        <f aca="false">AA68+AA127+AA219+AA298+AA315+AA414+AA442+AA498+AA530+AA542</f>
        <v>15396.4278450631</v>
      </c>
      <c r="AB584" s="71" t="n">
        <f aca="false">AB68+AB127+AB219+AB298+AB315+AB414+AB442+AB498+AB530+AB542</f>
        <v>16651.0859920416</v>
      </c>
    </row>
    <row r="585" customFormat="false" ht="15" hidden="false" customHeight="false" outlineLevel="0" collapsed="false">
      <c r="A585" s="29" t="s">
        <v>929</v>
      </c>
      <c r="B585" s="60"/>
      <c r="C585" s="61" t="n">
        <f aca="false">SUM(E585:P585)</f>
        <v>219200.268634424</v>
      </c>
      <c r="D585" s="61" t="n">
        <f aca="false">SUM(Q585:AB585)</f>
        <v>213326.894824607</v>
      </c>
      <c r="E585" s="71" t="n">
        <f aca="false">E67+E98+E126+E172+E218+E235+E285+E297+E314+E359+E413+E441+E497+E529+E541</f>
        <v>12007.16</v>
      </c>
      <c r="F585" s="71" t="n">
        <f aca="false">F67+F98+F126+F172+F218+F235+F285+F297+F314+F359+F413+F441+F497+F529+F541</f>
        <v>14428.84</v>
      </c>
      <c r="G585" s="71" t="n">
        <f aca="false">G67+G98+G126+G172+G218+G235+G285+G297+G314+G359+G413+G441+G497+G529+G541</f>
        <v>17385.12</v>
      </c>
      <c r="H585" s="71" t="n">
        <f aca="false">H67+H98+H126+H172+H218+H235+H285+H297+H314+H359+H413+H441+H497+H529+H541</f>
        <v>15038.94</v>
      </c>
      <c r="I585" s="71" t="n">
        <f aca="false">I67+I98+I126+I172+I218+I235+I285+I297+I314+I359+I413+I441+I497+I529+I541</f>
        <v>18845.22</v>
      </c>
      <c r="J585" s="71" t="n">
        <f aca="false">J67+J98+J126+J172+J218+J235+J285+J297+J314+J359+J413+J441+J497+J529+J541</f>
        <v>25289.24</v>
      </c>
      <c r="K585" s="71" t="n">
        <f aca="false">K67+K98+K126+K172+K218+K235+K285+K297+K314+K359+K413+K441+K497+K529+K541</f>
        <v>19354.46</v>
      </c>
      <c r="L585" s="71" t="n">
        <f aca="false">L67+L98+L126+L172+L218+L235+L285+L297+L314+L359+L413+L441+L497+L529+L541</f>
        <v>15096.91</v>
      </c>
      <c r="M585" s="71" t="n">
        <f aca="false">M67+M98+M126+M172+M218+M235+M285+M297+M314+M359+M413+M441+M497+M529+M541</f>
        <v>23870.597751544</v>
      </c>
      <c r="N585" s="71" t="n">
        <f aca="false">N67+N98+N126+N172+N218+N235+N285+N297+N314+N359+N413+N441+N497+N529+N541</f>
        <v>19189.830851378</v>
      </c>
      <c r="O585" s="71" t="n">
        <f aca="false">O67+O98+O126+O172+O218+O235+O285+O297+O314+O359+O413+O441+O497+O529+O541</f>
        <v>20002.8975047975</v>
      </c>
      <c r="P585" s="71" t="n">
        <f aca="false">P67+P98+P126+P172+P218+P235+P285+P297+P314+P359+P413+P441+P497+P529+P541</f>
        <v>18691.0525267047</v>
      </c>
      <c r="Q585" s="71" t="n">
        <f aca="false">Q67+Q98+Q126+Q172+Q218+Q235+Q285+Q297+Q314+Q359+Q413+Q441+Q497+Q529+Q541</f>
        <v>18948.418638763</v>
      </c>
      <c r="R585" s="71" t="n">
        <f aca="false">R67+R98+R126+R172+R218+R235+R285+R297+R314+R359+R413+R441+R497+R529+R541</f>
        <v>19538.4222372397</v>
      </c>
      <c r="S585" s="71" t="n">
        <f aca="false">S67+S98+S126+S172+S218+S235+S285+S297+S314+S359+S413+S441+S497+S529+S541</f>
        <v>21086.1688055431</v>
      </c>
      <c r="T585" s="71" t="n">
        <f aca="false">T67+T98+T126+T172+T218+T235+T285+T297+T314+T359+T413+T441+T497+T529+T541</f>
        <v>19944.3308245625</v>
      </c>
      <c r="U585" s="71" t="n">
        <f aca="false">U67+U98+U126+U172+U218+U235+U285+U297+U314+U359+U413+U441+U497+U529+U541</f>
        <v>15200.8772157432</v>
      </c>
      <c r="V585" s="71" t="n">
        <f aca="false">V67+V98+V126+V172+V218+V235+V285+V297+V314+V359+V413+V441+V497+V529+V541</f>
        <v>20591.3299844775</v>
      </c>
      <c r="W585" s="71" t="n">
        <f aca="false">W67+W98+W126+W172+W218+W235+W285+W297+W314+W359+W413+W441+W497+W529+W541</f>
        <v>18719.3111804557</v>
      </c>
      <c r="X585" s="71" t="n">
        <f aca="false">X67+X98+X126+X172+X218+X235+X285+X297+X314+X359+X413+X441+X497+X529+X541</f>
        <v>14343.158601705</v>
      </c>
      <c r="Y585" s="71" t="n">
        <f aca="false">Y67+Y98+Y126+Y172+Y218+Y235+Y285+Y297+Y314+Y359+Y413+Y441+Y497+Y529+Y541</f>
        <v>18046.4431355148</v>
      </c>
      <c r="Z585" s="71" t="n">
        <f aca="false">Z67+Z98+Z126+Z172+Z218+Z235+Z285+Z297+Z314+Z359+Z413+Z441+Z497+Z529+Z541</f>
        <v>14860.9203634979</v>
      </c>
      <c r="AA585" s="71" t="n">
        <f aca="false">AA67+AA98+AA126+AA172+AA218+AA235+AA285+AA297+AA314+AA359+AA413+AA441+AA497+AA529+AA541</f>
        <v>15396.4278450631</v>
      </c>
      <c r="AB585" s="71" t="n">
        <f aca="false">AB67+AB98+AB126+AB172+AB218+AB235+AB285+AB297+AB314+AB359+AB413+AB441+AB497+AB529+AB541</f>
        <v>16651.0859920416</v>
      </c>
    </row>
    <row r="586" customFormat="false" ht="15" hidden="false" customHeight="false" outlineLevel="0" collapsed="false">
      <c r="A586" s="29" t="s">
        <v>493</v>
      </c>
      <c r="B586" s="60"/>
      <c r="C586" s="66" t="n">
        <f aca="false">SUM(E586:P586)</f>
        <v>12347.3099197425</v>
      </c>
      <c r="D586" s="66" t="n">
        <f aca="false">SUM(Q586:AB586)</f>
        <v>12415.1185275171</v>
      </c>
      <c r="E586" s="72" t="n">
        <f aca="false">E11+E15+E16+E19+E22+E27+E30+E34+E37+E38+E40+E547</f>
        <v>695.7</v>
      </c>
      <c r="F586" s="72" t="n">
        <f aca="false">F11+F15+F16+F19+F22+F27+F30+F34+F37+F38+F40+F547</f>
        <v>1008.8</v>
      </c>
      <c r="G586" s="72" t="n">
        <f aca="false">G11+G15+G16+G19+G22+G27+G30+G34+G37+G38+G40+G547</f>
        <v>1103.4</v>
      </c>
      <c r="H586" s="72" t="n">
        <f aca="false">H11+H15+H16+H19+H22+H27+H30+H34+H37+H38+H40+H547</f>
        <v>1180.5</v>
      </c>
      <c r="I586" s="72" t="n">
        <f aca="false">I11+I15+I16+I19+I22+I27+I30+I34+I37+I38+I40+I547</f>
        <v>1004.8</v>
      </c>
      <c r="J586" s="72" t="n">
        <f aca="false">J11+J15+J16+J19+J22+J27+J30+J34+J37+J38+J40+J547</f>
        <v>1305.1</v>
      </c>
      <c r="K586" s="72" t="n">
        <f aca="false">K11+K15+K16+K19+K22+K27+K30+K34+K37+K38+K40+K547</f>
        <v>867.2</v>
      </c>
      <c r="L586" s="72" t="n">
        <f aca="false">L11+L15+L16+L19+L22+L27+L30+L34+L37+L38+L40+L547</f>
        <v>657.8</v>
      </c>
      <c r="M586" s="72" t="n">
        <f aca="false">M11+M15+M16+M19+M22+M27+M30+M34+M37+M38+M40+M547</f>
        <v>1230.39512391643</v>
      </c>
      <c r="N586" s="72" t="n">
        <f aca="false">N11+N15+N16+N19+N22+N27+N30+N34+N37+N38+N40+N547</f>
        <v>1008.18525026505</v>
      </c>
      <c r="O586" s="72" t="n">
        <f aca="false">O11+O15+O16+O19+O22+O27+O30+O34+O37+O38+O40+O547</f>
        <v>1016.51937376297</v>
      </c>
      <c r="P586" s="72" t="n">
        <f aca="false">P11+P15+P16+P19+P22+P27+P30+P34+P37+P38+P40+P547</f>
        <v>1268.91017179809</v>
      </c>
      <c r="Q586" s="72" t="n">
        <f aca="false">Q11+Q15+Q16+Q19+Q22+Q27+Q30+Q34+Q37+Q38+Q40+Q547</f>
        <v>1189.45892346059</v>
      </c>
      <c r="R586" s="72" t="n">
        <f aca="false">R11+R15+R16+R19+R22+R27+R30+R34+R37+R38+R40+R547</f>
        <v>1306.76916864769</v>
      </c>
      <c r="S586" s="72" t="n">
        <f aca="false">S11+S15+S16+S19+S22+S27+S30+S34+S37+S38+S40+S547</f>
        <v>1057.1207127</v>
      </c>
      <c r="T586" s="72" t="n">
        <f aca="false">T11+T15+T16+T19+T22+T27+T30+T34+T37+T38+T40+T547</f>
        <v>1074.2797478585</v>
      </c>
      <c r="U586" s="72" t="n">
        <f aca="false">U11+U15+U16+U19+U22+U27+U30+U34+U37+U38+U40+U547</f>
        <v>783.345221739698</v>
      </c>
      <c r="V586" s="72" t="n">
        <f aca="false">V11+V15+V16+V19+V22+V27+V30+V34+V37+V38+V40+V547</f>
        <v>1020.51121531757</v>
      </c>
      <c r="W586" s="72" t="n">
        <f aca="false">W11+W15+W16+W19+W22+W27+W30+W34+W37+W38+W40+W547</f>
        <v>968.45124291147</v>
      </c>
      <c r="X586" s="72" t="n">
        <f aca="false">X11+X15+X16+X19+X22+X27+X30+X34+X37+X38+X40+X547</f>
        <v>828.252120966313</v>
      </c>
      <c r="Y586" s="72" t="n">
        <f aca="false">Y11+Y15+Y16+Y19+Y22+Y27+Y30+Y34+Y37+Y38+Y40+Y547</f>
        <v>1076.75573163759</v>
      </c>
      <c r="Z586" s="72" t="n">
        <f aca="false">Z11+Z15+Z16+Z19+Z22+Z27+Z30+Z34+Z37+Z38+Z40+Z547</f>
        <v>979.777249453529</v>
      </c>
      <c r="AA586" s="72" t="n">
        <f aca="false">AA11+AA15+AA16+AA19+AA22+AA27+AA30+AA34+AA37+AA38+AA40+AA547</f>
        <v>1023.64550509875</v>
      </c>
      <c r="AB586" s="72" t="n">
        <f aca="false">AB11+AB15+AB16+AB19+AB22+AB27+AB30+AB34+AB37+AB38+AB40+AB547</f>
        <v>1106.75168772541</v>
      </c>
    </row>
    <row r="587" customFormat="false" ht="15" hidden="false" customHeight="false" outlineLevel="0" collapsed="false">
      <c r="A587" s="29" t="s">
        <v>930</v>
      </c>
      <c r="B587" s="60"/>
      <c r="C587" s="61" t="n">
        <f aca="false">SUM(E587:P587)</f>
        <v>2467795.98761821</v>
      </c>
      <c r="D587" s="61" t="n">
        <f aca="false">SUM(Q587:AB587)</f>
        <v>2576754.16187982</v>
      </c>
      <c r="E587" s="71" t="n">
        <f aca="false">E76+E136+E150+E199+E244+E322+E365+E423+E466+E479+E507+E548</f>
        <v>140507.08</v>
      </c>
      <c r="F587" s="71" t="n">
        <f aca="false">F76+F136+F150+F199+F244+F322+F365+F423+F466+F479+F507+F548</f>
        <v>202176.24</v>
      </c>
      <c r="G587" s="71" t="n">
        <f aca="false">G76+G136+G150+G199+G244+G322+G365+G423+G466+G479+G507+G548</f>
        <v>220991.96</v>
      </c>
      <c r="H587" s="71" t="n">
        <f aca="false">H76+H136+H150+H199+H244+H322+H365+H423+H466+H479+H507+H548</f>
        <v>237361.04</v>
      </c>
      <c r="I587" s="71" t="n">
        <f aca="false">I76+I136+I150+I199+I244+I322+I365+I423+I466+I479+I507+I548</f>
        <v>201999.28</v>
      </c>
      <c r="J587" s="71" t="n">
        <f aca="false">J76+J136+J150+J199+J244+J322+J365+J423+J466+J479+J507+J548</f>
        <v>262223.4</v>
      </c>
      <c r="K587" s="71" t="n">
        <f aca="false">K76+K136+K150+K199+K244+K322+K365+K423+K466+K479+K507+K548</f>
        <v>172348.36</v>
      </c>
      <c r="L587" s="71" t="n">
        <f aca="false">L76+L136+L150+L199+L244+L322+L365+L423+L466+L479+L507+L548</f>
        <v>130678.24</v>
      </c>
      <c r="M587" s="71" t="n">
        <f aca="false">M76+M136+M150+M199+M244+M322+M365+M423+M466+M479+M507+M548</f>
        <v>243838.885374362</v>
      </c>
      <c r="N587" s="71" t="n">
        <f aca="false">N76+N136+N150+N199+N244+N322+N365+N423+N466+N479+N507+N548</f>
        <v>198310.038727134</v>
      </c>
      <c r="O587" s="71" t="n">
        <f aca="false">O76+O136+O150+O199+O244+O322+O365+O423+O466+O479+O507+O548</f>
        <v>205950.941031987</v>
      </c>
      <c r="P587" s="71" t="n">
        <f aca="false">P76+P136+P150+P199+P244+P322+P365+P423+P466+P479+P507+P548</f>
        <v>251410.522484722</v>
      </c>
      <c r="Q587" s="71" t="n">
        <f aca="false">Q76+Q136+Q150+Q199+Q244+Q322+Q365+Q423+Q466+Q479+Q507+Q548</f>
        <v>244496.018559542</v>
      </c>
      <c r="R587" s="71" t="n">
        <f aca="false">R76+R136+R150+R199+R244+R322+R365+R423+R466+R479+R507+R548</f>
        <v>268674.58374475</v>
      </c>
      <c r="S587" s="71" t="n">
        <f aca="false">S76+S136+S150+S199+S244+S322+S365+S423+S466+S479+S507+S548</f>
        <v>221970.696192966</v>
      </c>
      <c r="T587" s="71" t="n">
        <f aca="false">T76+T136+T150+T199+T244+T322+T365+T423+T466+T479+T507+T548</f>
        <v>225444.589000294</v>
      </c>
      <c r="U587" s="71" t="n">
        <f aca="false">U76+U136+U150+U199+U244+U322+U365+U423+U466+U479+U507+U548</f>
        <v>164577.238832159</v>
      </c>
      <c r="V587" s="71" t="n">
        <f aca="false">V76+V136+V150+V199+V244+V322+V365+V423+V466+V479+V507+V548</f>
        <v>214629.01402035</v>
      </c>
      <c r="W587" s="71" t="n">
        <f aca="false">W76+W136+W150+W199+W244+W322+W365+W423+W466+W479+W507+W548</f>
        <v>203794.868405066</v>
      </c>
      <c r="X587" s="71" t="n">
        <f aca="false">X76+X136+X150+X199+X244+X322+X365+X423+X466+X479+X507+X548</f>
        <v>174408.36743942</v>
      </c>
      <c r="Y587" s="71" t="n">
        <f aca="false">Y76+Y136+Y150+Y199+Y244+Y322+Y365+Y423+Y466+Y479+Y507+Y548</f>
        <v>220745.22033624</v>
      </c>
      <c r="Z587" s="71" t="n">
        <f aca="false">Z76+Z136+Z150+Z199+Z244+Z322+Z365+Z423+Z466+Z479+Z507+Z548</f>
        <v>200925.582280333</v>
      </c>
      <c r="AA587" s="71" t="n">
        <f aca="false">AA76+AA136+AA150+AA199+AA244+AA322+AA365+AA423+AA466+AA479+AA507+AA548</f>
        <v>209985.751795823</v>
      </c>
      <c r="AB587" s="71" t="n">
        <f aca="false">AB76+AB136+AB150+AB199+AB244+AB322+AB365+AB423+AB466+AB479+AB507+AB548</f>
        <v>227102.231272873</v>
      </c>
    </row>
    <row r="588" customFormat="false" ht="15" hidden="false" customHeight="false" outlineLevel="0" collapsed="false">
      <c r="A588" s="68" t="s">
        <v>496</v>
      </c>
      <c r="B588" s="69"/>
      <c r="C588" s="70" t="n">
        <f aca="false">SUM(E588:P588)</f>
        <v>2228712.7672907</v>
      </c>
      <c r="D588" s="70" t="n">
        <f aca="false">SUM(Q588:AB588)</f>
        <v>2285595.49988326</v>
      </c>
      <c r="E588" s="70" t="n">
        <f aca="false">E78+E139+E152+E202+E248+E324+E367+E426+E469+E481+E510+E550</f>
        <v>127787.79</v>
      </c>
      <c r="F588" s="70" t="n">
        <f aca="false">F78+F139+F152+F202+F248+F324+F367+F426+F469+F481+F510+F550</f>
        <v>185485.46</v>
      </c>
      <c r="G588" s="70" t="n">
        <f aca="false">G78+G139+G152+G202+G248+G324+G367+G426+G469+G481+G510+G550</f>
        <v>195985.56</v>
      </c>
      <c r="H588" s="70" t="n">
        <f aca="false">H78+H139+H152+H202+H248+H324+H367+H426+H469+H481+H510+H550</f>
        <v>207813.63</v>
      </c>
      <c r="I588" s="70" t="n">
        <f aca="false">I78+I139+I152+I202+I248+I324+I367+I426+I469+I481+I510+I550</f>
        <v>182238.72</v>
      </c>
      <c r="J588" s="70" t="n">
        <f aca="false">J78+J139+J152+J202+J248+J324+J367+J426+J469+J481+J510+J550</f>
        <v>235602.52</v>
      </c>
      <c r="K588" s="70" t="n">
        <f aca="false">K78+K139+K152+K202+K248+K324+K367+K426+K469+K481+K510+K550</f>
        <v>156486.04</v>
      </c>
      <c r="L588" s="70" t="n">
        <f aca="false">L78+L139+L152+L202+L248+L324+L367+L426+L469+L481+L510+L550</f>
        <v>121634.4</v>
      </c>
      <c r="M588" s="70" t="n">
        <f aca="false">M78+M139+M152+M202+M248+M324+M367+M426+M469+M481+M510+M550</f>
        <v>219281.811643199</v>
      </c>
      <c r="N588" s="70" t="n">
        <f aca="false">N78+N139+N152+N202+N248+N324+N367+N426+N469+N481+N510+N550</f>
        <v>181122.497778687</v>
      </c>
      <c r="O588" s="70" t="n">
        <f aca="false">O78+O139+O152+O202+O248+O324+O367+O426+O469+O481+O510+O550</f>
        <v>186078.282846543</v>
      </c>
      <c r="P588" s="70" t="n">
        <f aca="false">P78+P139+P152+P202+P248+P324+P367+P426+P469+P481+P510+P550</f>
        <v>229196.055022266</v>
      </c>
      <c r="Q588" s="70" t="n">
        <f aca="false">Q78+Q139+Q152+Q202+Q248+Q324+Q367+Q426+Q469+Q481+Q510+Q550</f>
        <v>218556.88610897</v>
      </c>
      <c r="R588" s="70" t="n">
        <f aca="false">R78+R139+R152+R202+R248+R324+R367+R426+R469+R481+R510+R550</f>
        <v>240270.148320449</v>
      </c>
      <c r="S588" s="70" t="n">
        <f aca="false">S78+S139+S152+S202+S248+S324+S367+S426+S469+S481+S510+S550</f>
        <v>198046.364594348</v>
      </c>
      <c r="T588" s="70" t="n">
        <f aca="false">T78+T139+T152+T202+T248+T324+T367+T426+T469+T481+T510+T550</f>
        <v>200939.642905643</v>
      </c>
      <c r="U588" s="70" t="n">
        <f aca="false">U78+U139+U152+U202+U248+U324+U367+U426+U469+U481+U510+U550</f>
        <v>146061.502284179</v>
      </c>
      <c r="V588" s="70" t="n">
        <f aca="false">V78+V139+V152+V202+V248+V324+V367+V426+V469+V481+V510+V550</f>
        <v>188925.588804109</v>
      </c>
      <c r="W588" s="70" t="n">
        <f aca="false">W78+W139+W152+W202+W248+W324+W367+W426+W469+W481+W510+W550</f>
        <v>180302.137225837</v>
      </c>
      <c r="X588" s="70" t="n">
        <f aca="false">X78+X139+X152+X202+X248+X324+X367+X426+X469+X481+X510+X550</f>
        <v>154037.470122496</v>
      </c>
      <c r="Y588" s="70" t="n">
        <f aca="false">Y78+Y139+Y152+Y202+Y248+Y324+Y367+Y426+Y469+Y481+Y510+Y550</f>
        <v>194962.178600967</v>
      </c>
      <c r="Z588" s="70" t="n">
        <f aca="false">Z78+Z139+Z152+Z202+Z248+Z324+Z367+Z426+Z469+Z481+Z510+Z550</f>
        <v>177457.47426999</v>
      </c>
      <c r="AA588" s="70" t="n">
        <f aca="false">AA78+AA139+AA152+AA202+AA248+AA324+AA367+AA426+AA469+AA481+AA510+AA550</f>
        <v>185459.415986071</v>
      </c>
      <c r="AB588" s="70" t="n">
        <f aca="false">AB78+AB139+AB152+AB202+AB248+AB324+AB367+AB426+AB469+AB481+AB510+AB550</f>
        <v>200576.690660201</v>
      </c>
    </row>
    <row r="589" customFormat="false" ht="15" hidden="false" customHeight="false" outlineLevel="0" collapsed="false">
      <c r="A589" s="29" t="s">
        <v>931</v>
      </c>
      <c r="B589" s="60"/>
      <c r="C589" s="61" t="n">
        <f aca="false">SUM(E589:P589)</f>
        <v>128886.400936997</v>
      </c>
      <c r="D589" s="61" t="n">
        <f aca="false">SUM(Q589:AB589)</f>
        <v>129646.148392345</v>
      </c>
      <c r="E589" s="71" t="n">
        <f aca="false">E82+E156+E252+E328+E371+E485+E553</f>
        <v>4802.24</v>
      </c>
      <c r="F589" s="71" t="n">
        <f aca="false">F82+F156+F252+F328+F371+F485+F553</f>
        <v>11427.19</v>
      </c>
      <c r="G589" s="71" t="n">
        <f aca="false">G82+G156+G252+G328+G371+G485+G553</f>
        <v>10364.88</v>
      </c>
      <c r="H589" s="71" t="n">
        <f aca="false">H82+H156+H252+H328+H371+H485+H553</f>
        <v>9468.35</v>
      </c>
      <c r="I589" s="71" t="n">
        <f aca="false">I82+I156+I252+I328+I371+I485+I553</f>
        <v>7778.97</v>
      </c>
      <c r="J589" s="71" t="n">
        <f aca="false">J82+J156+J252+J328+J371+J485+J553</f>
        <v>13098.33</v>
      </c>
      <c r="K589" s="71" t="n">
        <f aca="false">K82+K156+K252+K328+K371+K485+K553</f>
        <v>10289.04</v>
      </c>
      <c r="L589" s="71" t="n">
        <f aca="false">L82+L156+L252+L328+L371+L485+L553</f>
        <v>9464.85</v>
      </c>
      <c r="M589" s="71" t="n">
        <f aca="false">M82+M156+M252+M328+M371+M485+M553</f>
        <v>14656.3996391643</v>
      </c>
      <c r="N589" s="71" t="n">
        <f aca="false">N82+N156+N252+N328+N371+N485+N553</f>
        <v>14119.2541026505</v>
      </c>
      <c r="O589" s="71" t="n">
        <f aca="false">O82+O156+O252+O328+O371+O485+O553</f>
        <v>10059.5218873657</v>
      </c>
      <c r="P589" s="71" t="n">
        <f aca="false">P82+P156+P252+P328+P371+P485+P553</f>
        <v>13357.3753078168</v>
      </c>
      <c r="Q589" s="71" t="n">
        <f aca="false">Q82+Q156+Q252+Q328+Q371+Q485+Q553</f>
        <v>11966.5653311737</v>
      </c>
      <c r="R589" s="71" t="n">
        <f aca="false">R82+R156+R252+R328+R371+R485+R553</f>
        <v>12106.2849416033</v>
      </c>
      <c r="S589" s="71" t="n">
        <f aca="false">S82+S156+S252+S328+S371+S485+S553</f>
        <v>9747.01260332442</v>
      </c>
      <c r="T589" s="71" t="n">
        <f aca="false">T82+T156+T252+T328+T371+T485+T553</f>
        <v>11508.0353464377</v>
      </c>
      <c r="U589" s="71" t="n">
        <f aca="false">U82+U156+U252+U328+U371+U485+U553</f>
        <v>8734.84091551209</v>
      </c>
      <c r="V589" s="71" t="n">
        <f aca="false">V82+V156+V252+V328+V371+V485+V553</f>
        <v>9069.50975170139</v>
      </c>
      <c r="W589" s="71" t="n">
        <f aca="false">W82+W156+W252+W328+W371+W485+W553</f>
        <v>9691.8841015835</v>
      </c>
      <c r="X589" s="71" t="n">
        <f aca="false">X82+X156+X252+X328+X371+X485+X553</f>
        <v>9384.09653054832</v>
      </c>
      <c r="Y589" s="71" t="n">
        <f aca="false">Y82+Y156+Y252+Y328+Y371+Y485+Y553</f>
        <v>12199.6424394539</v>
      </c>
      <c r="Z589" s="71" t="n">
        <f aca="false">Z82+Z156+Z252+Z328+Z371+Z485+Z553</f>
        <v>11100.8762363085</v>
      </c>
      <c r="AA589" s="71" t="n">
        <f aca="false">AA82+AA156+AA252+AA328+AA371+AA485+AA553</f>
        <v>11597.9035727688</v>
      </c>
      <c r="AB589" s="71" t="n">
        <f aca="false">AB82+AB156+AB252+AB328+AB371+AB485+AB553</f>
        <v>12539.4966219289</v>
      </c>
    </row>
    <row r="590" customFormat="false" ht="15" hidden="false" customHeight="false" outlineLevel="0" collapsed="false">
      <c r="A590" s="29" t="s">
        <v>932</v>
      </c>
      <c r="B590" s="60"/>
      <c r="C590" s="61" t="n">
        <f aca="false">SUM(E590:P590)</f>
        <v>155961.778658333</v>
      </c>
      <c r="D590" s="61" t="n">
        <f aca="false">SUM(Q590:AB590)</f>
        <v>146731.605339369</v>
      </c>
      <c r="E590" s="71" t="n">
        <f aca="false">E81+E143+E155+E206+E251+E327+E370+E430+E473+E484+E514+E552</f>
        <v>7834.7</v>
      </c>
      <c r="F590" s="71" t="n">
        <f aca="false">F81+F143+F155+F206+F251+F327+F370+F430+F473+F484+F514+F552</f>
        <v>14303.92</v>
      </c>
      <c r="G590" s="71" t="n">
        <f aca="false">G81+G143+G155+G206+G251+G327+G370+G430+G473+G484+G514+G552</f>
        <v>13574.17</v>
      </c>
      <c r="H590" s="71" t="n">
        <f aca="false">H81+H143+H155+H206+H251+H327+H370+H430+H473+H484+H514+H552</f>
        <v>12546.55</v>
      </c>
      <c r="I590" s="71" t="n">
        <f aca="false">I81+I143+I155+I206+I251+I327+I370+I430+I473+I484+I514+I552</f>
        <v>11333.78</v>
      </c>
      <c r="J590" s="71" t="n">
        <f aca="false">J81+J143+J155+J206+J251+J327+J370+J430+J473+J484+J514+J552</f>
        <v>18106.17</v>
      </c>
      <c r="K590" s="71" t="n">
        <f aca="false">K81+K143+K155+K206+K251+K327+K370+K430+K473+K484+K514+K552</f>
        <v>12158.22</v>
      </c>
      <c r="L590" s="71" t="n">
        <f aca="false">L81+L143+L155+L206+L251+L327+L370+L430+L473+L484+L514+L552</f>
        <v>10734.34</v>
      </c>
      <c r="M590" s="71" t="n">
        <f aca="false">M81+M143+M155+M206+M251+M327+M370+M430+M473+M484+M514+M552</f>
        <v>16494.9496391643</v>
      </c>
      <c r="N590" s="71" t="n">
        <f aca="false">N81+N143+N155+N206+N251+N327+N370+N430+N473+N484+N514+N552</f>
        <v>14119.2541026505</v>
      </c>
      <c r="O590" s="71" t="n">
        <f aca="false">O81+O143+O155+O206+O251+O327+O370+O430+O473+O484+O514+O552</f>
        <v>10059.5218873657</v>
      </c>
      <c r="P590" s="71" t="n">
        <f aca="false">P81+P143+P155+P206+P251+P327+P370+P430+P473+P484+P514+P552</f>
        <v>14696.2030291521</v>
      </c>
      <c r="Q590" s="71" t="n">
        <f aca="false">Q81+Q143+Q155+Q206+Q251+Q327+Q370+Q430+Q473+Q484+Q514+Q552</f>
        <v>14216.2773264564</v>
      </c>
      <c r="R590" s="71" t="n">
        <f aca="false">R81+R143+R155+R206+R251+R327+R370+R430+R473+R484+R514+R552</f>
        <v>15464.6802858764</v>
      </c>
      <c r="S590" s="71" t="n">
        <f aca="false">S81+S143+S155+S206+S251+S327+S370+S430+S473+S484+S514+S552</f>
        <v>13349.6548817266</v>
      </c>
      <c r="T590" s="71" t="n">
        <f aca="false">T81+T143+T155+T206+T251+T327+T370+T430+T473+T484+T514+T552</f>
        <v>13909.2649447381</v>
      </c>
      <c r="U590" s="71" t="n">
        <f aca="false">U81+U143+U155+U206+U251+U327+U370+U430+U473+U484+U514+U552</f>
        <v>10564.9672580005</v>
      </c>
      <c r="V590" s="71" t="n">
        <f aca="false">V81+V143+V155+V206+V251+V327+V370+V430+V473+V484+V514+V552</f>
        <v>11548.6170667034</v>
      </c>
      <c r="W590" s="71" t="n">
        <f aca="false">W81+W143+W155+W206+W251+W327+W370+W430+W473+W484+W514+W552</f>
        <v>10856.1281748594</v>
      </c>
      <c r="X590" s="71" t="n">
        <f aca="false">X81+X143+X155+X206+X251+X327+X370+X430+X473+X484+X514+X552</f>
        <v>9384.09653054832</v>
      </c>
      <c r="Y590" s="71" t="n">
        <f aca="false">Y81+Y143+Y155+Y206+Y251+Y327+Y370+Y430+Y473+Y484+Y514+Y552</f>
        <v>12199.6424394539</v>
      </c>
      <c r="Z590" s="71" t="n">
        <f aca="false">Z81+Z143+Z155+Z206+Z251+Z327+Z370+Z430+Z473+Z484+Z514+Z552</f>
        <v>11100.8762363085</v>
      </c>
      <c r="AA590" s="71" t="n">
        <f aca="false">AA81+AA143+AA155+AA206+AA251+AA327+AA370+AA430+AA473+AA484+AA514+AA552</f>
        <v>11597.9035727688</v>
      </c>
      <c r="AB590" s="71" t="n">
        <f aca="false">AB81+AB143+AB155+AB206+AB251+AB327+AB370+AB430+AB473+AB484+AB514+AB552</f>
        <v>12539.4966219289</v>
      </c>
    </row>
    <row r="591" customFormat="false" ht="15" hidden="false" customHeight="false" outlineLevel="0" collapsed="false">
      <c r="A591" s="29" t="s">
        <v>494</v>
      </c>
      <c r="B591" s="60"/>
      <c r="C591" s="66" t="n">
        <f aca="false">SUM(E591:P591)</f>
        <v>12264.6776048324</v>
      </c>
      <c r="D591" s="66" t="n">
        <f aca="false">SUM(Q591:AB591)</f>
        <v>12972.9873751963</v>
      </c>
      <c r="E591" s="72" t="n">
        <f aca="false">E9+E13+E18+E23+E28+E31+E32+E36+E558</f>
        <v>836.7</v>
      </c>
      <c r="F591" s="72" t="n">
        <f aca="false">F9+F13+F18+F23+F28+F31+F32+F36+F558</f>
        <v>746.7</v>
      </c>
      <c r="G591" s="72" t="n">
        <f aca="false">G9+G13+G18+G23+G28+G31+G32+G36+G558</f>
        <v>1067.9</v>
      </c>
      <c r="H591" s="72" t="n">
        <f aca="false">H9+H13+H18+H23+H28+H31+H32+H36+H558</f>
        <v>725.5</v>
      </c>
      <c r="I591" s="72" t="n">
        <f aca="false">I9+I13+I18+I23+I28+I31+I32+I36+I558</f>
        <v>757.3</v>
      </c>
      <c r="J591" s="72" t="n">
        <f aca="false">J9+J13+J18+J23+J28+J31+J32+J36+J558</f>
        <v>888.9</v>
      </c>
      <c r="K591" s="72" t="n">
        <f aca="false">K9+K13+K18+K23+K28+K31+K32+K36+K558</f>
        <v>1172.4</v>
      </c>
      <c r="L591" s="72" t="n">
        <f aca="false">L9+L13+L18+L23+L28+L31+L32+L36+L558</f>
        <v>871.8</v>
      </c>
      <c r="M591" s="72" t="n">
        <f aca="false">M9+M13+M18+M23+M28+M31+M32+M36+M558</f>
        <v>1361.12369906902</v>
      </c>
      <c r="N591" s="72" t="n">
        <f aca="false">N9+N13+N18+N23+N28+N31+N32+N36+N558</f>
        <v>1312.59371381349</v>
      </c>
      <c r="O591" s="72" t="n">
        <f aca="false">O9+O13+O18+O23+O28+O31+O32+O36+O558</f>
        <v>1245.30240921253</v>
      </c>
      <c r="P591" s="72" t="n">
        <f aca="false">P9+P13+P18+P23+P28+P31+P32+P36+P558</f>
        <v>1278.45778273735</v>
      </c>
      <c r="Q591" s="72" t="n">
        <f aca="false">Q9+Q13+Q18+Q23+Q28+Q31+Q32+Q36+Q558</f>
        <v>1093.98439090724</v>
      </c>
      <c r="R591" s="72" t="n">
        <f aca="false">R9+R13+R18+R23+R28+R31+R32+R36+R558</f>
        <v>1073.7005287648</v>
      </c>
      <c r="S591" s="72" t="n">
        <f aca="false">S9+S13+S18+S23+S28+S31+S32+S36+S558</f>
        <v>1151.79791927165</v>
      </c>
      <c r="T591" s="72" t="n">
        <f aca="false">T9+T13+T18+T23+T28+T31+T32+T36+T558</f>
        <v>1125.47614844795</v>
      </c>
      <c r="U591" s="72" t="n">
        <f aca="false">U9+U13+U18+U23+U28+U31+U32+U36+U558</f>
        <v>857.426841358218</v>
      </c>
      <c r="V591" s="72" t="n">
        <f aca="false">V9+V13+V18+V23+V28+V31+V32+V36+V558</f>
        <v>1143.21258138418</v>
      </c>
      <c r="W591" s="72" t="n">
        <f aca="false">W9+W13+W18+W23+W28+W31+W32+W36+W558</f>
        <v>1106.82704090986</v>
      </c>
      <c r="X591" s="72" t="n">
        <f aca="false">X9+X13+X18+X23+X28+X31+X32+X36+X558</f>
        <v>969.231993331524</v>
      </c>
      <c r="Y591" s="72" t="n">
        <f aca="false">Y9+Y13+Y18+Y23+Y28+Y31+Y32+Y36+Y558</f>
        <v>1142.74456473783</v>
      </c>
      <c r="Z591" s="72" t="n">
        <f aca="false">Z9+Z13+Z18+Z23+Z28+Z31+Z32+Z36+Z558</f>
        <v>1041.03786869914</v>
      </c>
      <c r="AA591" s="72" t="n">
        <f aca="false">AA9+AA13+AA18+AA23+AA28+AA31+AA32+AA36+AA558</f>
        <v>1088.90148536052</v>
      </c>
      <c r="AB591" s="72" t="n">
        <f aca="false">AB9+AB13+AB18+AB23+AB28+AB31+AB32+AB36+AB558</f>
        <v>1178.64601202338</v>
      </c>
    </row>
    <row r="592" customFormat="false" ht="15" hidden="false" customHeight="false" outlineLevel="0" collapsed="false">
      <c r="A592" s="29" t="s">
        <v>933</v>
      </c>
      <c r="B592" s="60"/>
      <c r="C592" s="61" t="n">
        <f aca="false">SUM(E592:P592)</f>
        <v>2483948.19610437</v>
      </c>
      <c r="D592" s="61" t="n">
        <f aca="false">SUM(Q592:AB592)</f>
        <v>2705572.11000201</v>
      </c>
      <c r="E592" s="71" t="n">
        <f aca="false">E45+E107+E181+E262+E337+E378+E391+E451+E559</f>
        <v>171304.62</v>
      </c>
      <c r="F592" s="71" t="n">
        <f aca="false">F45+F107+F181+F262+F337+F378+F391+F451+F559</f>
        <v>152899.82</v>
      </c>
      <c r="G592" s="71" t="n">
        <f aca="false">G45+G107+G181+G262+G337+G378+G391+G451+G559</f>
        <v>217166.33</v>
      </c>
      <c r="H592" s="71" t="n">
        <f aca="false">H45+H107+H181+H262+H337+H378+H391+H451+H559</f>
        <v>147037.87</v>
      </c>
      <c r="I592" s="71" t="n">
        <f aca="false">I45+I107+I181+I262+I337+I378+I391+I451+I559</f>
        <v>153697.95</v>
      </c>
      <c r="J592" s="71" t="n">
        <f aca="false">J45+J107+J181+J262+J337+J378+J391+J451+J559</f>
        <v>180209.68</v>
      </c>
      <c r="K592" s="71" t="n">
        <f aca="false">K45+K107+K181+K262+K337+K378+K391+K451+K559</f>
        <v>238315.04</v>
      </c>
      <c r="L592" s="71" t="n">
        <f aca="false">L45+L107+L181+L262+L337+L378+L391+L451+L559</f>
        <v>177218.35</v>
      </c>
      <c r="M592" s="71" t="n">
        <f aca="false">M45+M107+M181+M262+M337+M378+M391+M451+M559</f>
        <v>275523.314106876</v>
      </c>
      <c r="N592" s="71" t="n">
        <f aca="false">N45+N107+N181+N262+N337+N378+N391+N451+N559</f>
        <v>265705.364152276</v>
      </c>
      <c r="O592" s="71" t="n">
        <f aca="false">O45+O107+O181+O262+O337+O378+O391+O451+O559</f>
        <v>249089.655828683</v>
      </c>
      <c r="P592" s="71" t="n">
        <f aca="false">P45+P107+P181+P262+P337+P378+P391+P451+P559</f>
        <v>255780.202016535</v>
      </c>
      <c r="Q592" s="71" t="n">
        <f aca="false">Q45+Q107+Q181+Q262+Q337+Q378+Q391+Q451+Q559</f>
        <v>227621.293956822</v>
      </c>
      <c r="R592" s="71" t="n">
        <f aca="false">R45+R107+R181+R262+R337+R378+R391+R451+R559</f>
        <v>222935.94082707</v>
      </c>
      <c r="S592" s="71" t="n">
        <f aca="false">S45+S107+S181+S262+S337+S378+S391+S451+S559</f>
        <v>239150.979055597</v>
      </c>
      <c r="T592" s="71" t="n">
        <f aca="false">T45+T107+T181+T262+T337+T378+T391+T451+T559</f>
        <v>235152.49154835</v>
      </c>
      <c r="U592" s="71" t="n">
        <f aca="false">U45+U107+U181+U262+U337+U378+U391+U451+U559</f>
        <v>179132.485028237</v>
      </c>
      <c r="V592" s="71" t="n">
        <f aca="false">V45+V107+V181+V262+V337+V378+V391+V451+V559</f>
        <v>238712.774252359</v>
      </c>
      <c r="W592" s="71" t="n">
        <f aca="false">W45+W107+W181+W262+W337+W378+W391+W451+W559</f>
        <v>231095.859533436</v>
      </c>
      <c r="X592" s="71" t="n">
        <f aca="false">X45+X107+X181+X262+X337+X378+X391+X451+X559</f>
        <v>202367.635601681</v>
      </c>
      <c r="Y592" s="71" t="n">
        <f aca="false">Y45+Y107+Y181+Y262+Y337+Y378+Y391+Y451+Y559</f>
        <v>238595.956770767</v>
      </c>
      <c r="Z592" s="71" t="n">
        <f aca="false">Z45+Z107+Z181+Z262+Z337+Z378+Z391+Z451+Z559</f>
        <v>217360.554304156</v>
      </c>
      <c r="AA592" s="71" t="n">
        <f aca="false">AA45+AA107+AA181+AA262+AA337+AA378+AA391+AA451+AA559</f>
        <v>227354.09477348</v>
      </c>
      <c r="AB592" s="71" t="n">
        <f aca="false">AB45+AB107+AB181+AB262+AB337+AB378+AB391+AB451+AB559</f>
        <v>246092.044350057</v>
      </c>
    </row>
    <row r="593" customFormat="false" ht="15" hidden="false" customHeight="false" outlineLevel="0" collapsed="false">
      <c r="A593" s="68" t="s">
        <v>497</v>
      </c>
      <c r="B593" s="69"/>
      <c r="C593" s="70" t="n">
        <f aca="false">SUM(E593:P593)</f>
        <v>2221873.00363952</v>
      </c>
      <c r="D593" s="70" t="n">
        <f aca="false">SUM(Q593:AB593)</f>
        <v>2392622.60482744</v>
      </c>
      <c r="E593" s="70" t="n">
        <f aca="false">E47+E110+E185+E265+E340+E380+E393+E454+E561</f>
        <v>150112.6</v>
      </c>
      <c r="F593" s="70" t="n">
        <f aca="false">F47+F110+F185+F265+F340+F380+F393+F454+F561</f>
        <v>136557.58</v>
      </c>
      <c r="G593" s="70" t="n">
        <f aca="false">G47+G110+G185+G265+G340+G380+G393+G454+G561</f>
        <v>199053.67</v>
      </c>
      <c r="H593" s="70" t="n">
        <f aca="false">H47+H110+H185+H265+H340+H380+H393+H454+H561</f>
        <v>131754.7</v>
      </c>
      <c r="I593" s="70" t="n">
        <f aca="false">I47+I110+I185+I265+I340+I380+I393+I454+I561</f>
        <v>139717.95</v>
      </c>
      <c r="J593" s="70" t="n">
        <f aca="false">J47+J110+J185+J265+J340+J380+J393+J454+J561</f>
        <v>160149.56</v>
      </c>
      <c r="K593" s="70" t="n">
        <f aca="false">K47+K110+K185+K265+K340+K380+K393+K454+K561</f>
        <v>215467.73</v>
      </c>
      <c r="L593" s="70" t="n">
        <f aca="false">L47+L110+L185+L265+L340+L380+L393+L454+L561</f>
        <v>158214.09</v>
      </c>
      <c r="M593" s="70" t="n">
        <f aca="false">M47+M110+M185+M265+M340+M380+M393+M454+M561</f>
        <v>242014.33119303</v>
      </c>
      <c r="N593" s="70" t="n">
        <f aca="false">N47+N110+N185+N265+N340+N380+N393+N454+N561</f>
        <v>237848.331387195</v>
      </c>
      <c r="O593" s="70" t="n">
        <f aca="false">O47+O110+O185+O265+O340+O380+O393+O454+O561</f>
        <v>222502.258486139</v>
      </c>
      <c r="P593" s="70" t="n">
        <f aca="false">P47+P110+P185+P265+P340+P380+P393+P454+P561</f>
        <v>228480.202573157</v>
      </c>
      <c r="Q593" s="70" t="n">
        <f aca="false">Q47+Q110+Q185+Q265+Q340+Q380+Q393+Q454+Q561</f>
        <v>202069.915764334</v>
      </c>
      <c r="R593" s="70" t="n">
        <f aca="false">R47+R110+R185+R265+R340+R380+R393+R454+R561</f>
        <v>197634.541526831</v>
      </c>
      <c r="S593" s="70" t="n">
        <f aca="false">S47+S110+S185+S265+S340+S380+S393+S454+S561</f>
        <v>212009.301005783</v>
      </c>
      <c r="T593" s="70" t="n">
        <f aca="false">T47+T110+T185+T265+T340+T380+T393+T454+T561</f>
        <v>207969.204726774</v>
      </c>
      <c r="U593" s="70" t="n">
        <f aca="false">U47+U110+U185+U265+U340+U380+U393+U454+U561</f>
        <v>158425.140025422</v>
      </c>
      <c r="V593" s="70" t="n">
        <f aca="false">V47+V110+V185+V265+V340+V380+V393+V454+V561</f>
        <v>210831.122219684</v>
      </c>
      <c r="W593" s="70" t="n">
        <f aca="false">W47+W110+W185+W265+W340+W380+W393+W454+W561</f>
        <v>204103.863139931</v>
      </c>
      <c r="X593" s="70" t="n">
        <f aca="false">X47+X110+X185+X265+X340+X380+X393+X454+X561</f>
        <v>178731.095763405</v>
      </c>
      <c r="Y593" s="70" t="n">
        <f aca="false">Y47+Y110+Y185+Y265+Y340+Y380+Y393+Y454+Y561</f>
        <v>210727.949019942</v>
      </c>
      <c r="Z593" s="70" t="n">
        <f aca="false">Z47+Z110+Z185+Z265+Z340+Z380+Z393+Z454+Z561</f>
        <v>191972.841561431</v>
      </c>
      <c r="AA593" s="70" t="n">
        <f aca="false">AA47+AA110+AA185+AA265+AA340+AA380+AA393+AA454+AA561</f>
        <v>200799.136503938</v>
      </c>
      <c r="AB593" s="70" t="n">
        <f aca="false">AB47+AB110+AB185+AB265+AB340+AB380+AB393+AB454+AB561</f>
        <v>217348.493569971</v>
      </c>
    </row>
    <row r="594" customFormat="false" ht="15" hidden="false" customHeight="false" outlineLevel="0" collapsed="false">
      <c r="A594" s="29" t="s">
        <v>934</v>
      </c>
      <c r="B594" s="60"/>
      <c r="C594" s="61" t="n">
        <f aca="false">SUM(E594:P594)</f>
        <v>115676.249762772</v>
      </c>
      <c r="D594" s="61" t="n">
        <f aca="false">SUM(Q594:AB594)</f>
        <v>141088.54511807</v>
      </c>
      <c r="E594" s="71" t="n">
        <f aca="false">E51+E189+E384+E397+E564</f>
        <v>7418</v>
      </c>
      <c r="F594" s="71" t="n">
        <f aca="false">F51+F189+F384+F397+F564</f>
        <v>5932.03</v>
      </c>
      <c r="G594" s="71" t="n">
        <f aca="false">G51+G189+G384+G397+G564</f>
        <v>10299.97</v>
      </c>
      <c r="H594" s="71" t="n">
        <f aca="false">H51+H189+H384+H397+H564</f>
        <v>7368.34</v>
      </c>
      <c r="I594" s="71" t="n">
        <f aca="false">I51+I189+I384+I397+I564</f>
        <v>7383.55</v>
      </c>
      <c r="J594" s="71" t="n">
        <f aca="false">J51+J189+J384+J397+J564</f>
        <v>9758.62</v>
      </c>
      <c r="K594" s="71" t="n">
        <f aca="false">K51+K189+K384+K397+K564</f>
        <v>12255.46</v>
      </c>
      <c r="L594" s="71" t="n">
        <f aca="false">L51+L189+L384+L397+L564</f>
        <v>8378.78</v>
      </c>
      <c r="M594" s="71" t="n">
        <f aca="false">M51+M189+M384+M397+M564</f>
        <v>12032.6265106902</v>
      </c>
      <c r="N594" s="71" t="n">
        <f aca="false">N51+N189+N384+N397+N564</f>
        <v>11591.6401987801</v>
      </c>
      <c r="O594" s="71" t="n">
        <f aca="false">O51+O189+O384+O397+O564</f>
        <v>11476.7777517909</v>
      </c>
      <c r="P594" s="71" t="n">
        <f aca="false">P51+P189+P384+P397+P564</f>
        <v>11780.4553015104</v>
      </c>
      <c r="Q594" s="71" t="n">
        <f aca="false">Q51+Q189+Q384+Q397+Q564</f>
        <v>10383.2429625761</v>
      </c>
      <c r="R594" s="71" t="n">
        <f aca="false">R51+R189+R384+R397+R564</f>
        <v>11120.36872402</v>
      </c>
      <c r="S594" s="71" t="n">
        <f aca="false">S51+S189+S384+S397+S564</f>
        <v>11929.2370117801</v>
      </c>
      <c r="T594" s="71" t="n">
        <f aca="false">T51+T189+T384+T397+T564</f>
        <v>11776.4167080231</v>
      </c>
      <c r="U594" s="71" t="n">
        <f aca="false">U51+U189+U384+U397+U564</f>
        <v>8971.36419043292</v>
      </c>
      <c r="V594" s="71" t="n">
        <f aca="false">V51+V189+V384+V397+V564</f>
        <v>12952.5985470828</v>
      </c>
      <c r="W594" s="71" t="n">
        <f aca="false">W51+W189+W384+W397+W564</f>
        <v>12540.3503735087</v>
      </c>
      <c r="X594" s="71" t="n">
        <f aca="false">X51+X189+X384+X397+X564</f>
        <v>10981.3984844462</v>
      </c>
      <c r="Y594" s="71" t="n">
        <f aca="false">Y51+Y189+Y384+Y397+Y564</f>
        <v>12947.2959184796</v>
      </c>
      <c r="Z594" s="71" t="n">
        <f aca="false">Z51+Z189+Z384+Z397+Z564</f>
        <v>11794.9590523612</v>
      </c>
      <c r="AA594" s="71" t="n">
        <f aca="false">AA51+AA189+AA384+AA397+AA564</f>
        <v>12337.2538291347</v>
      </c>
      <c r="AB594" s="71" t="n">
        <f aca="false">AB51+AB189+AB384+AB397+AB564</f>
        <v>13354.0593162249</v>
      </c>
    </row>
    <row r="595" customFormat="false" ht="15" hidden="false" customHeight="false" outlineLevel="0" collapsed="false">
      <c r="A595" s="29" t="s">
        <v>935</v>
      </c>
      <c r="B595" s="60"/>
      <c r="C595" s="61" t="n">
        <f aca="false">SUM(E595:P595)</f>
        <v>127129.564601481</v>
      </c>
      <c r="D595" s="61" t="n">
        <f aca="false">SUM(Q595:AB595)</f>
        <v>144989.201634199</v>
      </c>
      <c r="E595" s="71" t="n">
        <f aca="false">E50+E114+E188+E269+E344+E383+E396+E458+E563</f>
        <v>8357.12</v>
      </c>
      <c r="F595" s="71" t="n">
        <f aca="false">F50+F114+F188+F269+F344+F383+F396+F458+F563</f>
        <v>7085.61</v>
      </c>
      <c r="G595" s="71" t="n">
        <f aca="false">G50+G114+G188+G269+G344+G383+G396+G458+G563</f>
        <v>11397.16</v>
      </c>
      <c r="H595" s="71" t="n">
        <f aca="false">H50+H114+H188+H269+H344+H383+H396+H458+H563</f>
        <v>7368.34</v>
      </c>
      <c r="I595" s="71" t="n">
        <f aca="false">I50+I114+I188+I269+I344+I383+I396+I458+I563</f>
        <v>7383.55</v>
      </c>
      <c r="J595" s="71" t="n">
        <f aca="false">J50+J114+J188+J269+J344+J383+J396+J458+J563</f>
        <v>9758.62</v>
      </c>
      <c r="K595" s="71" t="n">
        <f aca="false">K50+K114+K188+K269+K344+K383+K396+K458+K563</f>
        <v>13326.71</v>
      </c>
      <c r="L595" s="71" t="n">
        <f aca="false">L50+L114+L188+L269+L344+L383+L396+L458+L563</f>
        <v>9534.2</v>
      </c>
      <c r="M595" s="71" t="n">
        <f aca="false">M50+M114+M188+M269+M344+M383+M396+M458+M563</f>
        <v>13574.0265106902</v>
      </c>
      <c r="N595" s="71" t="n">
        <f aca="false">N50+N114+N188+N269+N344+N383+N396+N458+N563</f>
        <v>13087.382134264</v>
      </c>
      <c r="O595" s="71" t="n">
        <f aca="false">O50+O114+O188+O269+O344+O383+O396+O458+O563</f>
        <v>12956.2616227586</v>
      </c>
      <c r="P595" s="71" t="n">
        <f aca="false">P50+P114+P188+P269+P344+P383+P396+P458+P563</f>
        <v>13300.5843337685</v>
      </c>
      <c r="Q595" s="71" t="n">
        <f aca="false">Q50+Q114+Q188+Q269+Q344+Q383+Q396+Q458+Q563</f>
        <v>11722.9074787051</v>
      </c>
      <c r="R595" s="71" t="n">
        <f aca="false">R50+R114+R188+R269+R344+R383+R396+R458+R563</f>
        <v>11752.9490833014</v>
      </c>
      <c r="S595" s="71" t="n">
        <f aca="false">S50+S114+S188+S269+S344+S383+S396+S458+S563</f>
        <v>12607.8232153729</v>
      </c>
      <c r="T595" s="71" t="n">
        <f aca="false">T50+T114+T188+T269+T344+T383+T396+T458+T563</f>
        <v>12485.6734744902</v>
      </c>
      <c r="U595" s="71" t="n">
        <f aca="false">U50+U114+U188+U269+U344+U383+U396+U458+U563</f>
        <v>9511.9328610916</v>
      </c>
      <c r="V595" s="71" t="n">
        <f aca="false">V50+V114+V188+V269+V344+V383+V396+V458+V563</f>
        <v>12952.5985470828</v>
      </c>
      <c r="W595" s="71" t="n">
        <f aca="false">W50+W114+W188+W269+W344+W383+W396+W458+W563</f>
        <v>12540.3503735087</v>
      </c>
      <c r="X595" s="71" t="n">
        <f aca="false">X50+X114+X188+X269+X344+X383+X396+X458+X563</f>
        <v>10981.3984844462</v>
      </c>
      <c r="Y595" s="71" t="n">
        <f aca="false">Y50+Y114+Y188+Y269+Y344+Y383+Y396+Y458+Y563</f>
        <v>12947.2959184796</v>
      </c>
      <c r="Z595" s="71" t="n">
        <f aca="false">Z50+Z114+Z188+Z269+Z344+Z383+Z396+Z458+Z563</f>
        <v>11794.9590523612</v>
      </c>
      <c r="AA595" s="71" t="n">
        <f aca="false">AA50+AA114+AA188+AA269+AA344+AA383+AA396+AA458+AA563</f>
        <v>12337.2538291347</v>
      </c>
      <c r="AB595" s="71" t="n">
        <f aca="false">AB50+AB114+AB188+AB269+AB344+AB383+AB396+AB458+AB563</f>
        <v>13354.0593162249</v>
      </c>
    </row>
    <row r="596" customFormat="false" ht="15" hidden="false" customHeight="false" outlineLevel="0" collapsed="false">
      <c r="A596" s="68" t="s">
        <v>936</v>
      </c>
      <c r="B596" s="69"/>
      <c r="C596" s="113" t="n">
        <f aca="false">SUM(E596:P596)</f>
        <v>40640.9367773469</v>
      </c>
      <c r="D596" s="113" t="n">
        <f aca="false">SUM(Q596:AB596)</f>
        <v>41687.1974458871</v>
      </c>
      <c r="E596" s="113" t="n">
        <f aca="false">E9+E10+E11+E12+E13+E14+E15+E16+E17+E18+E19+E20+E21+E22+E23+E24+E25+E26+E27+E28+E29+E30+E31+E32+E33+E34+E35+E36+E37+E38+E39+E40+E41+E536+E547+E558</f>
        <v>2518.7</v>
      </c>
      <c r="F596" s="113" t="n">
        <f aca="false">F9+F10+F11+F12+F13+F14+F15+F16+F17+F18+F19+F20+F21+F22+F23+F24+F25+F26+F27+F28+F29+F30+F31+F32+F33+F34+F35+F36+F37+F38+F39+F40+F41+F536+F547+F558</f>
        <v>2774.8</v>
      </c>
      <c r="G596" s="113" t="n">
        <f aca="false">G9+G10+G11+G12+G13+G14+G15+G16+G17+G18+G19+G20+G21+G22+G23+G24+G25+G26+G27+G28+G29+G30+G31+G32+G33+G34+G35+G36+G37+G38+G39+G40+G41+G536+G547+G558</f>
        <v>3591.3</v>
      </c>
      <c r="H596" s="113" t="n">
        <f aca="false">H9+H10+H11+H12+H13+H14+H15+H16+H17+H18+H19+H20+H21+H22+H23+H24+H25+H26+H27+H28+H29+H30+H31+H32+H33+H34+H35+H36+H37+H38+H39+H40+H41+H536+H547+H558</f>
        <v>3102.8</v>
      </c>
      <c r="I596" s="113" t="n">
        <f aca="false">I9+I10+I11+I12+I13+I14+I15+I16+I17+I18+I19+I20+I21+I22+I23+I24+I25+I26+I27+I28+I29+I30+I31+I32+I33+I34+I35+I36+I37+I38+I39+I40+I41+I536+I547+I558</f>
        <v>3143.9</v>
      </c>
      <c r="J596" s="113" t="n">
        <f aca="false">J9+J10+J11+J12+J13+J14+J15+J16+J17+J18+J19+J20+J21+J22+J23+J24+J25+J26+J27+J28+J29+J30+J31+J32+J33+J34+J35+J36+J37+J38+J39+J40+J41+J536+J547+J558</f>
        <v>3918.4</v>
      </c>
      <c r="K596" s="113" t="n">
        <f aca="false">K9+K10+K11+K12+K13+K14+K15+K16+K17+K18+K19+K20+K21+K22+K23+K24+K25+K26+K27+K28+K29+K30+K31+K32+K33+K34+K35+K36+K37+K38+K39+K40+K41+K536+K547+K558</f>
        <v>3342.7</v>
      </c>
      <c r="L596" s="113" t="n">
        <f aca="false">L9+L10+L11+L12+L13+L14+L15+L16+L17+L18+L19+L20+L21+L22+L23+L24+L25+L26+L27+L28+L29+L30+L31+L32+L33+L34+L35+L36+L37+L38+L39+L40+L41+L536+L547+L558</f>
        <v>2659.5</v>
      </c>
      <c r="M596" s="113" t="n">
        <f aca="false">M9+M10+M11+M12+M13+M14+M15+M16+M17+M18+M19+M20+M21+M22+M23+M24+M25+M26+M27+M28+M29+M30+M31+M32+M33+M34+M35+M36+M37+M38+M39+M40+M41+M536+M547+M558</f>
        <v>4170.75702260542</v>
      </c>
      <c r="N596" s="113" t="n">
        <f aca="false">N9+N10+N11+N12+N13+N14+N15+N16+N17+N18+N19+N20+N21+N22+N23+N24+N25+N26+N27+N28+N29+N30+N31+N32+N33+N34+N35+N36+N37+N38+N39+N40+N41+N536+N547+N558</f>
        <v>3685.49665707846</v>
      </c>
      <c r="O596" s="113" t="n">
        <f aca="false">O9+O10+O11+O12+O13+O14+O15+O16+O17+O18+O19+O20+O21+O22+O23+O24+O25+O26+O27+O28+O29+O30+O31+O32+O33+O34+O35+O36+O37+O38+O39+O40+O41+O536+O547+O558</f>
        <v>3720.41305085979</v>
      </c>
      <c r="P596" s="113" t="n">
        <f aca="false">P9+P10+P11+P12+P13+P14+P15+P16+P17+P18+P19+P20+P21+P22+P23+P24+P25+P26+P27+P28+P29+P30+P31+P32+P33+P34+P35+P36+P37+P38+P39+P40+P41+P536+P547+P558</f>
        <v>4012.17004680323</v>
      </c>
      <c r="Q596" s="113" t="n">
        <f aca="false">Q9+Q10+Q11+Q12+Q13+Q14+Q15+Q16+Q17+Q18+Q19+Q20+Q21+Q22+Q23+Q24+Q25+Q26+Q27+Q28+Q29+Q30+Q31+Q32+Q33+Q34+Q35+Q36+Q37+Q38+Q39+Q40+Q41+Q536+Q547+Q558</f>
        <v>3567.13238812627</v>
      </c>
      <c r="R596" s="113" t="n">
        <f aca="false">R9+R10+R11+R12+R13+R14+R15+R16+R17+R18+R19+R20+R21+R22+R23+R24+R25+R26+R27+R28+R29+R30+R31+R32+R33+R34+R35+R36+R37+R38+R39+R40+R41+R536+R547+R558</f>
        <v>3704.08566249423</v>
      </c>
      <c r="S596" s="113" t="n">
        <f aca="false">S9+S10+S11+S12+S13+S14+S15+S16+S17+S18+S19+S20+S21+S22+S23+S24+S25+S26+S27+S28+S29+S30+S31+S32+S33+S34+S35+S36+S37+S38+S39+S40+S41+S536+S547+S558</f>
        <v>3649.5998366153</v>
      </c>
      <c r="T596" s="113" t="n">
        <f aca="false">T9+T10+T11+T12+T13+T14+T15+T16+T17+T18+T19+T20+T21+T22+T23+T24+T25+T26+T27+T28+T29+T30+T31+T32+T33+T34+T35+T36+T37+T38+T39+T40+T41+T536+T547+T558</f>
        <v>3639.7054970548</v>
      </c>
      <c r="U596" s="113" t="n">
        <f aca="false">U9+U10+U11+U12+U13+U14+U15+U16+U17+U18+U19+U20+U21+U22+U23+U24+U25+U26+U27+U28+U29+U30+U31+U32+U33+U34+U35+U36+U37+U38+U39+U40+U41+U536+U547+U558</f>
        <v>2738.252716867</v>
      </c>
      <c r="V596" s="113" t="n">
        <f aca="false">V9+V10+V11+V12+V13+V14+V15+V16+V17+V18+V19+V20+V21+V22+V23+V24+V25+V26+V27+V28+V29+V30+V31+V32+V33+V34+V35+V36+V37+V38+V39+V40+V41+V536+V547+V558</f>
        <v>3650.38823416477</v>
      </c>
      <c r="W596" s="113" t="n">
        <f aca="false">W9+W10+W11+W12+W13+W14+W15+W16+W17+W18+W19+W20+W21+W22+W23+W24+W25+W26+W27+W28+W29+W30+W31+W32+W33+W34+W35+W36+W37+W38+W39+W40+W41+W536+W547+W558</f>
        <v>3469.49348274584</v>
      </c>
      <c r="X596" s="113" t="n">
        <f aca="false">X9+X10+X11+X12+X13+X14+X15+X16+X17+X18+X19+X20+X21+X22+X23+X24+X25+X26+X27+X28+X29+X30+X31+X32+X33+X34+X35+X36+X37+X38+X39+X40+X41+X536+X547+X558</f>
        <v>2982.84274272726</v>
      </c>
      <c r="Y596" s="113" t="n">
        <f aca="false">Y9+Y10+Y11+Y12+Y13+Y14+Y15+Y16+Y17+Y18+Y19+Y20+Y21+Y22+Y23+Y24+Y25+Y26+Y27+Y28+Y29+Y30+Y31+Y32+Y33+Y34+Y35+Y36+Y37+Y38+Y39+Y40+Y41+Y536+Y547+Y558</f>
        <v>3717.2894760404</v>
      </c>
      <c r="Z596" s="113" t="n">
        <f aca="false">Z9+Z10+Z11+Z12+Z13+Z14+Z15+Z16+Z17+Z18+Z19+Z20+Z21+Z22+Z23+Z24+Z25+Z26+Z27+Z28+Z29+Z30+Z31+Z32+Z33+Z34+Z35+Z36+Z37+Z38+Z39+Z40+Z41+Z536+Z547+Z558</f>
        <v>3341.90898211722</v>
      </c>
      <c r="AA596" s="113" t="n">
        <f aca="false">AA9+AA10+AA11+AA12+AA13+AA14+AA15+AA16+AA17+AA18+AA19+AA20+AA21+AA22+AA23+AA24+AA25+AA26+AA27+AA28+AA29+AA30+AA31+AA32+AA33+AA34+AA35+AA36+AA37+AA38+AA39+AA40+AA41+AA536+AA547+AA558</f>
        <v>3471.4550085584</v>
      </c>
      <c r="AB596" s="113" t="n">
        <f aca="false">AB9+AB10+AB11+AB12+AB13+AB14+AB15+AB16+AB17+AB18+AB19+AB20+AB21+AB22+AB23+AB24+AB25+AB26+AB27+AB28+AB29+AB30+AB31+AB32+AB33+AB34+AB35+AB36+AB37+AB38+AB39+AB40+AB41+AB536+AB547+AB558</f>
        <v>3755.04341837559</v>
      </c>
    </row>
    <row r="597" customFormat="false" ht="15" hidden="false" customHeight="false" outlineLevel="0" collapsed="false">
      <c r="A597" s="29" t="s">
        <v>833</v>
      </c>
      <c r="B597" s="60"/>
      <c r="C597" s="61" t="n">
        <f aca="false">SUM(E597:P597)</f>
        <v>8148728.46875185</v>
      </c>
      <c r="D597" s="61" t="n">
        <f aca="false">SUM(Q597:AB597)</f>
        <v>8658717.96230795</v>
      </c>
      <c r="E597" s="71" t="n">
        <f aca="false">E45+E60+E76+E91+E107+E121+E136+E150+E165+E181+E199+E213+E228+E244+E262+E278+E292+E307+E322+E337+E352+E365+E378+E391+E406+E423+E436+E451+E466+E479+E492+E507+E522+E537+E548+E559</f>
        <v>507895.91</v>
      </c>
      <c r="F597" s="71" t="n">
        <f aca="false">F45+F60+F76+F91+F107+F121+F136+F150+F165+F181+F199+F213+F228+F244+F262+F278+F292+F307+F322+F337+F352+F365+F378+F391+F406+F423+F436+F451+F466+F479+F492+F507+F522+F537+F548+F559</f>
        <v>557678.1</v>
      </c>
      <c r="G597" s="71" t="n">
        <f aca="false">G45+G60+G76+G91+G107+G121+G136+G150+G165+G181+G199+G213+G228+G244+G262+G278+G292+G307+G322+G337+G352+G365+G378+G391+G406+G423+G436+G451+G466+G479+G492+G507+G522+G537+G548+G559</f>
        <v>722535.15</v>
      </c>
      <c r="H597" s="71" t="n">
        <f aca="false">H45+H60+H76+H91+H107+H121+H136+H150+H165+H181+H199+H213+H228+H244+H262+H278+H292+H307+H322+H337+H352+H365+H378+H391+H406+H423+H436+H451+H466+H479+H492+H507+H522+H537+H548+H559</f>
        <v>623634.83</v>
      </c>
      <c r="I597" s="71" t="n">
        <f aca="false">I45+I60+I76+I91+I107+I121+I136+I150+I165+I181+I199+I213+I228+I244+I262+I278+I292+I307+I322+I337+I352+I365+I378+I391+I406+I423+I436+I451+I466+I479+I492+I507+I522+I537+I548+I559</f>
        <v>630608.86</v>
      </c>
      <c r="J597" s="71" t="n">
        <f aca="false">J45+J60+J76+J91+J107+J121+J136+J150+J165+J181+J199+J213+J228+J244+J262+J278+J292+J307+J322+J337+J352+J365+J378+J391+J406+J423+J436+J451+J466+J479+J492+J507+J522+J537+J548+J559</f>
        <v>784798.48</v>
      </c>
      <c r="K597" s="71" t="n">
        <f aca="false">K45+K60+K76+K91+K107+K121+K136+K150+K165+K181+K199+K213+K228+K244+K262+K278+K292+K307+K322+K337+K352+K365+K378+K391+K406+K423+K436+K451+K466+K479+K492+K507+K522+K537+K548+K559</f>
        <v>670714.48</v>
      </c>
      <c r="L597" s="71" t="n">
        <f aca="false">L45+L60+L76+L91+L107+L121+L136+L150+L165+L181+L199+L213+L228+L244+L262+L278+L292+L307+L322+L337+L352+L365+L378+L391+L406+L423+L436+L451+L466+L479+L492+L507+L522+L537+L548+L559</f>
        <v>534225.73</v>
      </c>
      <c r="M597" s="71" t="n">
        <f aca="false">M45+M60+M76+M91+M107+M121+M136+M150+M165+M181+M199+M213+M228+M244+M262+M278+M292+M307+M322+M337+M352+M365+M378+M391+M406+M423+M436+M451+M466+M479+M492+M507+M522+M537+M548+M559</f>
        <v>833480.32626765</v>
      </c>
      <c r="N597" s="71" t="n">
        <f aca="false">N45+N60+N76+N91+N107+N121+N136+N150+N165+N181+N199+N213+N228+N244+N262+N278+N292+N307+N322+N337+N352+N365+N378+N391+N406+N423+N436+N451+N466+N479+N492+N507+N522+N537+N548+N559</f>
        <v>737954.149630505</v>
      </c>
      <c r="O597" s="71" t="n">
        <f aca="false">O45+O60+O76+O91+O107+O121+O136+O150+O165+O181+O199+O213+O228+O244+O262+O278+O292+O307+O322+O337+O352+O365+O378+O391+O406+O423+O436+O451+O466+O479+O492+O507+O522+O537+O548+O559</f>
        <v>745996.449740146</v>
      </c>
      <c r="P597" s="71" t="n">
        <f aca="false">P45+P60+P76+P91+P107+P121+P136+P150+P165+P181+P199+P213+P228+P244+P262+P278+P292+P307+P322+P337+P352+P365+P378+P391+P406+P423+P436+P451+P466+P479+P492+P507+P522+P537+P548+P559</f>
        <v>799206.003113547</v>
      </c>
      <c r="Q597" s="71" t="n">
        <f aca="false">Q45+Q60+Q76+Q91+Q107+Q121+Q136+Q150+Q165+Q181+Q199+Q213+Q228+Q244+Q262+Q278+Q292+Q307+Q322+Q337+Q352+Q365+Q378+Q391+Q406+Q423+Q436+Q451+Q466+Q479+Q492+Q507+Q522+Q537+Q548+Q559</f>
        <v>739514.117528519</v>
      </c>
      <c r="R597" s="71" t="n">
        <f aca="false">R45+R60+R76+R91+R107+R121+R136+R150+R165+R181+R199+R213+R228+R244+R262+R278+R292+R307+R322+R337+R352+R365+R378+R391+R406+R423+R436+R451+R466+R479+R492+R507+R522+R537+R548+R559</f>
        <v>767306.489730786</v>
      </c>
      <c r="S597" s="71" t="n">
        <f aca="false">S45+S60+S76+S91+S107+S121+S136+S150+S165+S181+S199+S213+S228+S244+S262+S278+S292+S307+S322+S337+S352+S365+S378+S391+S406+S423+S436+S451+S466+S479+S492+S507+S522+S537+S548+S559</f>
        <v>761107.424672483</v>
      </c>
      <c r="T597" s="71" t="n">
        <f aca="false">T45+T60+T76+T91+T107+T121+T136+T150+T165+T181+T199+T213+T228+T244+T262+T278+T292+T307+T322+T337+T352+T365+T378+T391+T406+T423+T436+T451+T466+T479+T492+T507+T522+T537+T548+T559</f>
        <v>760655.070451722</v>
      </c>
      <c r="U597" s="71" t="n">
        <f aca="false">U45+U60+U76+U91+U107+U121+U136+U150+U165+U181+U199+U213+U228+U244+U262+U278+U292+U307+U322+U337+U352+U365+U378+U391+U406+U423+U436+U451+U466+U479+U492+U507+U522+U537+U548+U559</f>
        <v>572404.06579292</v>
      </c>
      <c r="V597" s="71" t="n">
        <f aca="false">V45+V60+V76+V91+V107+V121+V136+V150+V165+V181+V199+V213+V228+V244+V262+V278+V292+V307+V322+V337+V352+V365+V378+V391+V406+V423+V436+V451+V466+V479+V492+V507+V522+V537+V548+V559</f>
        <v>763134.975584563</v>
      </c>
      <c r="W597" s="71" t="n">
        <f aca="false">W45+W60+W76+W91+W107+W121+W136+W150+W165+W181+W199+W213+W228+W244+W262+W278+W292+W307+W322+W337+W352+W365+W378+W391+W406+W423+W436+W451+W466+W479+W492+W507+W522+W537+W548+W559</f>
        <v>725593.796723551</v>
      </c>
      <c r="X597" s="71" t="n">
        <f aca="false">X45+X60+X76+X91+X107+X121+X136+X150+X165+X181+X199+X213+X228+X244+X262+X278+X292+X307+X322+X337+X352+X365+X378+X391+X406+X423+X436+X451+X466+X479+X492+X507+X522+X537+X548+X559</f>
        <v>624070.997856584</v>
      </c>
      <c r="Y597" s="71" t="n">
        <f aca="false">Y45+Y60+Y76+Y91+Y107+Y121+Y136+Y150+Y165+Y181+Y199+Y213+Y228+Y244+Y262+Y278+Y292+Y307+Y322+Y337+Y352+Y365+Y378+Y391+Y406+Y423+Y436+Y451+Y466+Y479+Y492+Y507+Y522+Y537+Y548+Y559</f>
        <v>766020.719254727</v>
      </c>
      <c r="Z597" s="71" t="n">
        <f aca="false">Z45+Z60+Z76+Z91+Z107+Z121+Z136+Z150+Z165+Z181+Z199+Z213+Z228+Z244+Z262+Z278+Z292+Z307+Z322+Z337+Z352+Z365+Z378+Z391+Z406+Z423+Z436+Z451+Z466+Z479+Z492+Z507+Z522+Z537+Z548+Z559</f>
        <v>688855.939302752</v>
      </c>
      <c r="AA597" s="71" t="n">
        <f aca="false">AA45+AA60+AA76+AA91+AA107+AA121+AA136+AA150+AA165+AA181+AA199+AA213+AA228+AA244+AA262+AA278+AA292+AA307+AA322+AA337+AA352+AA365+AA378+AA391+AA406+AA423+AA436+AA451+AA466+AA479+AA492+AA507+AA522+AA537+AA548+AA559</f>
        <v>715723.148821763</v>
      </c>
      <c r="AB597" s="71" t="n">
        <f aca="false">AB45+AB60+AB76+AB91+AB107+AB121+AB136+AB150+AB165+AB181+AB199+AB213+AB228+AB244+AB262+AB278+AB292+AB307+AB322+AB337+AB352+AB365+AB378+AB391+AB406+AB423+AB436+AB451+AB466+AB479+AB492+AB507+AB522+AB537+AB548+AB559</f>
        <v>774331.216587582</v>
      </c>
    </row>
    <row r="598" customFormat="false" ht="15" hidden="false" customHeight="false" outlineLevel="0" collapsed="false">
      <c r="A598" s="29" t="s">
        <v>835</v>
      </c>
      <c r="B598" s="60"/>
      <c r="C598" s="61" t="n">
        <f aca="false">SUM(E598:P598)</f>
        <v>7618600.76961576</v>
      </c>
      <c r="D598" s="61" t="n">
        <f aca="false">SUM(Q598:AB598)</f>
        <v>8001896.73933113</v>
      </c>
      <c r="E598" s="71" t="n">
        <f aca="false">E46+E61+E77+E92+E108+E122+E137+E151+E166+E182+E200+E214+E229+E245+E263+E279+E293+E308+E323+E338+E353+E366+E379+E392+E407+E424+E437+E452+E467+E480+E493+E508+E523+E538+E549+E560</f>
        <v>471231.848064033</v>
      </c>
      <c r="F598" s="71" t="n">
        <f aca="false">F46+F61+F77+F92+F108+F122+F137+F151+F166+F182+F200+F214+F229+F245+F263+F279+F293+F308+F323+F338+F353+F366+F379+F392+F407+F424+F437+F452+F467+F480+F493+F508+F523+F538+F549+F560</f>
        <v>518763.797856549</v>
      </c>
      <c r="G598" s="71" t="n">
        <f aca="false">G46+G61+G77+G92+G108+G122+G137+G151+G166+G182+G200+G214+G229+G245+G263+G279+G293+G308+G323+G338+G353+G366+G379+G392+G407+G424+G437+G452+G467+G480+G493+G508+G523+G538+G549+G560</f>
        <v>673658.545104168</v>
      </c>
      <c r="H598" s="71" t="n">
        <f aca="false">H46+H61+H77+H92+H108+H122+H137+H151+H166+H182+H200+H214+H229+H245+H263+H279+H293+H308+H323+H338+H353+H366+H379+H392+H407+H424+H437+H452+H467+H480+H493+H508+H523+H538+H549+H560</f>
        <v>580810.47819168</v>
      </c>
      <c r="I598" s="71" t="n">
        <f aca="false">I46+I61+I77+I92+I108+I122+I137+I151+I166+I182+I200+I214+I229+I245+I263+I279+I293+I308+I323+I338+I353+I366+I379+I392+I407+I424+I437+I452+I467+I480+I493+I508+I523+I538+I549+I560</f>
        <v>588329.143016486</v>
      </c>
      <c r="J598" s="71" t="n">
        <f aca="false">J46+J61+J77+J92+J108+J122+J137+J151+J166+J182+J200+J214+J229+J245+J263+J279+J293+J308+J323+J338+J353+J366+J379+J392+J407+J424+J437+J452+J467+J480+J493+J508+J523+J538+J549+J560</f>
        <v>732512.767712858</v>
      </c>
      <c r="K598" s="71" t="n">
        <f aca="false">K46+K61+K77+K92+K108+K122+K137+K151+K166+K182+K200+K214+K229+K245+K263+K279+K293+K308+K323+K338+K353+K366+K379+K392+K407+K424+K437+K452+K467+K480+K493+K508+K523+K538+K549+K560</f>
        <v>629217.170453456</v>
      </c>
      <c r="L598" s="71" t="n">
        <f aca="false">L46+L61+L77+L92+L108+L122+L137+L151+L166+L182+L200+L214+L229+L245+L263+L279+L293+L308+L323+L338+L353+L366+L379+L392+L407+L424+L437+L452+L467+L480+L493+L508+L523+L538+L549+L560</f>
        <v>502425.971492057</v>
      </c>
      <c r="M598" s="71" t="n">
        <f aca="false">M46+M61+M77+M92+M108+M122+M137+M151+M166+M182+M200+M214+M229+M245+M263+M279+M293+M308+M323+M338+M353+M366+M379+M392+M407+M424+M437+M452+M467+M480+M493+M508+M523+M538+M549+M560</f>
        <v>782771.86571088</v>
      </c>
      <c r="N598" s="71" t="n">
        <f aca="false">N46+N61+N77+N92+N108+N122+N137+N151+N166+N182+N200+N214+N229+N245+N263+N279+N293+N308+N323+N338+N353+N366+N379+N392+N407+N424+N437+N452+N467+N480+N493+N508+N523+N538+N549+N560</f>
        <v>693641.333435636</v>
      </c>
      <c r="O598" s="71" t="n">
        <f aca="false">O46+O61+O77+O92+O108+O122+O137+O151+O166+O182+O200+O214+O229+O245+O263+O279+O293+O308+O323+O338+O353+O366+O379+O392+O407+O424+O437+O452+O467+O480+O493+O508+O523+O538+O549+O560</f>
        <v>697221.156517631</v>
      </c>
      <c r="P598" s="71" t="n">
        <f aca="false">P46+P61+P77+P92+P108+P122+P137+P151+P166+P182+P200+P214+P229+P245+P263+P279+P293+P308+P323+P338+P353+P366+P379+P392+P407+P424+P437+P452+P467+P480+P493+P508+P523+P538+P549+P560</f>
        <v>748016.692060326</v>
      </c>
      <c r="Q598" s="71" t="n">
        <f aca="false">Q46+Q61+Q77+Q92+Q108+Q122+Q137+Q151+Q166+Q182+Q200+Q214+Q229+Q245+Q263+Q279+Q293+Q308+Q323+Q338+Q353+Q366+Q379+Q392+Q407+Q424+Q437+Q452+Q467+Q480+Q493+Q508+Q523+Q538+Q549+Q560</f>
        <v>687670.943478703</v>
      </c>
      <c r="R598" s="71" t="n">
        <f aca="false">R46+R61+R77+R92+R108+R122+R137+R151+R166+R182+R200+R214+R229+R245+R263+R279+R293+R308+R323+R338+R353+R366+R379+R392+R407+R424+R437+R452+R467+R480+R493+R508+R523+R538+R549+R560</f>
        <v>713421.362766301</v>
      </c>
      <c r="S598" s="71" t="n">
        <f aca="false">S46+S61+S77+S92+S108+S122+S137+S151+S166+S182+S200+S214+S229+S245+S263+S279+S293+S308+S323+S338+S353+S366+S379+S392+S407+S424+S437+S452+S467+S480+S493+S508+S523+S538+S549+S560</f>
        <v>706670.894865622</v>
      </c>
      <c r="T598" s="71" t="n">
        <f aca="false">T46+T61+T77+T92+T108+T122+T137+T151+T166+T182+T200+T214+T229+T245+T263+T279+T293+T308+T323+T338+T353+T366+T379+T392+T407+T424+T437+T452+T467+T480+T493+T508+T523+T538+T549+T560</f>
        <v>704695.546395258</v>
      </c>
      <c r="U598" s="71" t="n">
        <f aca="false">U46+U61+U77+U92+U108+U122+U137+U151+U166+U182+U200+U214+U229+U245+U263+U279+U293+U308+U323+U338+U353+U366+U379+U392+U407+U424+U437+U452+U467+U480+U493+U508+U523+U538+U549+U560</f>
        <v>529978.173475272</v>
      </c>
      <c r="V598" s="71" t="n">
        <f aca="false">V46+V61+V77+V92+V108+V122+V137+V151+V166+V182+V200+V214+V229+V245+V263+V279+V293+V308+V323+V338+V353+V366+V379+V392+V407+V424+V437+V452+V467+V480+V493+V508+V523+V538+V549+V560</f>
        <v>704950.336180078</v>
      </c>
      <c r="W598" s="71" t="n">
        <f aca="false">W46+W61+W77+W92+W108+W122+W137+W151+W166+W182+W200+W214+W229+W245+W263+W279+W293+W308+W323+W338+W353+W366+W379+W392+W407+W424+W437+W452+W467+W480+W493+W508+W523+W538+W549+W560</f>
        <v>669739.454777422</v>
      </c>
      <c r="X598" s="71" t="n">
        <f aca="false">X46+X61+X77+X92+X108+X122+X137+X151+X166+X182+X200+X214+X229+X245+X263+X279+X293+X308+X323+X338+X353+X366+X379+X392+X407+X424+X437+X452+X467+X480+X493+X508+X523+X538+X549+X560</f>
        <v>574541.301149537</v>
      </c>
      <c r="Y598" s="71" t="n">
        <f aca="false">Y46+Y61+Y77+Y92+Y108+Y122+Y137+Y151+Y166+Y182+Y200+Y214+Y229+Y245+Y263+Y279+Y293+Y308+Y323+Y338+Y353+Y366+Y379+Y392+Y407+Y424+Y437+Y452+Y467+Y480+Y493+Y508+Y523+Y538+Y549+Y560</f>
        <v>705205.930703254</v>
      </c>
      <c r="Z598" s="71" t="n">
        <f aca="false">Z46+Z61+Z77+Z92+Z108+Z122+Z137+Z151+Z166+Z182+Z200+Z214+Z229+Z245+Z263+Z279+Z293+Z308+Z323+Z338+Z353+Z366+Z379+Z392+Z407+Z424+Z437+Z452+Z467+Z480+Z493+Z508+Z523+Z538+Z549+Z560</f>
        <v>634172.779363084</v>
      </c>
      <c r="AA598" s="71" t="n">
        <f aca="false">AA46+AA61+AA77+AA92+AA108+AA122+AA137+AA151+AA166+AA182+AA200+AA214+AA229+AA245+AA263+AA279+AA293+AA308+AA323+AA338+AA353+AA366+AA379+AA392+AA407+AA424+AA437+AA452+AA467+AA480+AA493+AA508+AA523+AA538+AA549+AA560</f>
        <v>658465.296916022</v>
      </c>
      <c r="AB598" s="71" t="n">
        <f aca="false">AB46+AB61+AB77+AB92+AB108+AB122+AB137+AB151+AB166+AB182+AB200+AB214+AB229+AB245+AB263+AB279+AB293+AB308+AB323+AB338+AB353+AB366+AB379+AB392+AB407+AB424+AB437+AB452+AB467+AB480+AB493+AB508+AB523+AB538+AB549+AB560</f>
        <v>712384.719260575</v>
      </c>
    </row>
    <row r="599" customFormat="false" ht="15" hidden="false" customHeight="false" outlineLevel="0" collapsed="false">
      <c r="A599" s="68" t="s">
        <v>349</v>
      </c>
      <c r="B599" s="69"/>
      <c r="C599" s="70" t="n">
        <f aca="false">SUM(E599:P599)</f>
        <v>7254561.78308546</v>
      </c>
      <c r="D599" s="70" t="n">
        <f aca="false">SUM(Q599:AB599)</f>
        <v>7654855.98535179</v>
      </c>
      <c r="E599" s="70" t="n">
        <f aca="false">E47+E64+E78+E94+E110+E123+E139+E152+E168+E185+E202+E215+E231+E248+E265+E281+E294+E311+E324+E340+E355+E367+E380+E393+E410+E426+E438+E454+E469+E481+E494+E510+E526+E539+E550+E561</f>
        <v>457500.86</v>
      </c>
      <c r="F599" s="70" t="n">
        <f aca="false">F47+F64+F78+F94+F110+F123+F139+F152+F168+F185+F202+F215+F231+F248+F265+F281+F294+F311+F324+F340+F355+F367+F380+F393+F410+F426+F438+F454+F469+F481+F494+F510+F526+F539+F550+F561</f>
        <v>496184.02</v>
      </c>
      <c r="G599" s="70" t="n">
        <f aca="false">G47+G64+G78+G94+G110+G123+G139+G152+G168+G185+G202+G215+G231+G248+G265+G281+G294+G311+G324+G340+G355+G367+G380+G393+G410+G426+G438+G454+G469+G481+G494+G510+G526+G539+G550+G561</f>
        <v>626975.9</v>
      </c>
      <c r="H599" s="70" t="n">
        <f aca="false">H47+H64+H78+H94+H110+H123+H139+H152+H168+H185+H202+H215+H231+H248+H265+H281+H294+H311+H324+H340+H355+H367+H380+H393+H410+H426+H438+H454+H469+H481+H494+H510+H526+H539+H550+H561</f>
        <v>540305.01</v>
      </c>
      <c r="I599" s="70" t="n">
        <f aca="false">I47+I64+I78+I94+I110+I123+I139+I152+I168+I185+I202+I215+I231+I248+I265+I281+I294+I311+I324+I340+I355+I367+I380+I393+I410+I426+I438+I454+I469+I481+I494+I510+I526+I539+I550+I561</f>
        <v>558878.41</v>
      </c>
      <c r="J599" s="70" t="n">
        <f aca="false">J47+J64+J78+J94+J110+J123+J139+J152+J168+J185+J202+J215+J231+J248+J265+J281+J294+J311+J324+J340+J355+J367+J380+J393+J410+J426+J438+J454+J469+J481+J494+J510+J526+J539+J550+J561</f>
        <v>701548.67</v>
      </c>
      <c r="K599" s="70" t="n">
        <f aca="false">K47+K64+K78+K94+K110+K123+K139+K152+K168+K185+K202+K215+K231+K248+K265+K281+K294+K311+K324+K340+K355+K367+K380+K393+K410+K426+K438+K454+K469+K481+K494+K510+K526+K539+K550+K561</f>
        <v>590211.73</v>
      </c>
      <c r="L599" s="70" t="n">
        <f aca="false">L47+L64+L78+L94+L110+L123+L139+L152+L168+L185+L202+L215+L231+L248+L265+L281+L294+L311+L324+L340+L355+L367+L380+L393+L410+L426+L438+L454+L469+L481+L494+L510+L526+L539+L550+L561</f>
        <v>483686.24</v>
      </c>
      <c r="M599" s="70" t="n">
        <f aca="false">M47+M64+M78+M94+M110+M123+M139+M152+M168+M185+M202+M215+M231+M248+M265+M281+M294+M311+M324+M340+M355+M367+M380+M393+M410+M426+M438+M454+M469+M481+M494+M510+M526+M539+M550+M561</f>
        <v>734222.963251627</v>
      </c>
      <c r="N599" s="70" t="n">
        <f aca="false">N47+N64+N78+N94+N110+N123+N139+N152+N168+N185+N202+N215+N231+N248+N265+N281+N294+N311+N324+N340+N355+N367+N380+N393+N410+N426+N438+N454+N469+N481+N494+N510+N526+N539+N550+N561</f>
        <v>670151.355442415</v>
      </c>
      <c r="O599" s="70" t="n">
        <f aca="false">O47+O64+O78+O94+O110+O123+O139+O152+O168+O185+O202+O215+O231+O248+O265+O281+O294+O311+O324+O340+O355+O367+O380+O393+O410+O426+O438+O454+O469+O481+O494+O510+O526+O539+O550+O561</f>
        <v>673184.794790173</v>
      </c>
      <c r="P599" s="70" t="n">
        <f aca="false">P47+P64+P78+P94+P110+P123+P139+P152+P168+P185+P202+P215+P231+P248+P265+P281+P294+P311+P324+P340+P355+P367+P380+P393+P410+P426+P438+P454+P469+P481+P494+P510+P526+P539+P550+P561</f>
        <v>721711.829601243</v>
      </c>
      <c r="Q599" s="70" t="n">
        <f aca="false">Q47+Q64+Q78+Q94+Q110+Q123+Q139+Q152+Q168+Q185+Q202+Q215+Q231+Q248+Q265+Q281+Q294+Q311+Q324+Q340+Q355+Q367+Q380+Q393+Q410+Q426+Q438+Q454+Q469+Q481+Q494+Q510+Q526+Q539+Q550+Q561</f>
        <v>656991.045495947</v>
      </c>
      <c r="R599" s="70" t="n">
        <f aca="false">R47+R64+R78+R94+R110+R123+R139+R152+R168+R185+R202+R215+R231+R248+R265+R281+R294+R311+R324+R340+R355+R367+R380+R393+R410+R426+R438+R454+R469+R481+R494+R510+R526+R539+R550+R561</f>
        <v>681604.982506458</v>
      </c>
      <c r="S599" s="70" t="n">
        <f aca="false">S47+S64+S78+S94+S110+S123+S139+S152+S168+S185+S202+S215+S231+S248+S265+S281+S294+S311+S324+S340+S355+S367+S380+S393+S410+S426+S438+S454+S469+S481+S494+S510+S526+S539+S550+S561</f>
        <v>675253.039134812</v>
      </c>
      <c r="T599" s="70" t="n">
        <f aca="false">T47+T64+T78+T94+T110+T123+T139+T152+T168+T185+T202+T215+T231+T248+T265+T281+T294+T311+T324+T340+T355+T367+T380+T393+T410+T426+T438+T454+T469+T481+T494+T510+T526+T539+T550+T561</f>
        <v>673941.857778348</v>
      </c>
      <c r="U599" s="70" t="n">
        <f aca="false">U47+U64+U78+U94+U110+U123+U139+U152+U168+U185+U202+U215+U231+U248+U265+U281+U294+U311+U324+U340+U355+U367+U380+U393+U410+U426+U438+U454+U469+U481+U494+U510+U526+U539+U550+U561</f>
        <v>506486.095257692</v>
      </c>
      <c r="V599" s="70" t="n">
        <f aca="false">V47+V64+V78+V94+V110+V123+V139+V152+V168+V185+V202+V215+V231+V248+V265+V281+V294+V311+V324+V340+V355+V367+V380+V393+V410+V426+V438+V454+V469+V481+V494+V510+V526+V539+V550+V561</f>
        <v>673388.554336188</v>
      </c>
      <c r="W599" s="70" t="n">
        <f aca="false">W47+W64+W78+W94+W110+W123+W139+W152+W168+W185+W202+W215+W231+W248+W265+W281+W294+W311+W324+W340+W355+W367+W380+W393+W410+W426+W438+W454+W469+W481+W494+W510+W526+W539+W550+W561</f>
        <v>639829.028514858</v>
      </c>
      <c r="X599" s="70" t="n">
        <f aca="false">X47+X64+X78+X94+X110+X123+X139+X152+X168+X185+X202+X215+X231+X248+X265+X281+X294+X311+X324+X340+X355+X367+X380+X393+X410+X426+X438+X454+X469+X481+X494+X510+X526+X539+X550+X561</f>
        <v>548972.039739203</v>
      </c>
      <c r="Y599" s="70" t="n">
        <f aca="false">Y47+Y64+Y78+Y94+Y110+Y123+Y139+Y152+Y168+Y185+Y202+Y215+Y231+Y248+Y265+Y281+Y294+Y311+Y324+Y340+Y355+Y367+Y380+Y393+Y410+Y426+Y438+Y454+Y469+Y481+Y494+Y510+Y526+Y539+Y550+Y561</f>
        <v>673946.870088757</v>
      </c>
      <c r="Z599" s="70" t="n">
        <f aca="false">Z47+Z64+Z78+Z94+Z110+Z123+Z139+Z152+Z168+Z185+Z202+Z215+Z231+Z248+Z265+Z281+Z294+Z311+Z324+Z340+Z355+Z367+Z380+Z393+Z410+Z426+Z438+Z454+Z469+Z481+Z494+Z510+Z526+Z539+Z550+Z561</f>
        <v>608426.456969989</v>
      </c>
      <c r="AA599" s="70" t="n">
        <f aca="false">AA47+AA64+AA78+AA94+AA110+AA123+AA139+AA152+AA168+AA185+AA202+AA215+AA231+AA248+AA265+AA281+AA294+AA311+AA324+AA340+AA355+AA367+AA380+AA393+AA410+AA426+AA438+AA454+AA469+AA481+AA494+AA510+AA526+AA539+AA550+AA561</f>
        <v>632126.685039381</v>
      </c>
      <c r="AB599" s="70" t="n">
        <f aca="false">AB47+AB64+AB78+AB94+AB110+AB123+AB139+AB152+AB168+AB185+AB202+AB215+AB231+AB248+AB265+AB281+AB294+AB311+AB324+AB340+AB355+AB367+AB380+AB393+AB410+AB426+AB438+AB454+AB469+AB481+AB494+AB510+AB526+AB539+AB550+AB561</f>
        <v>683889.330490152</v>
      </c>
    </row>
    <row r="600" customFormat="false" ht="15" hidden="false" customHeight="false" outlineLevel="0" collapsed="false">
      <c r="A600" s="29" t="s">
        <v>937</v>
      </c>
      <c r="B600" s="60"/>
      <c r="C600" s="61" t="n">
        <f aca="false">SUM(E600:P600)</f>
        <v>409132.009334193</v>
      </c>
      <c r="D600" s="61" t="n">
        <f aca="false">SUM(Q600:AB600)</f>
        <v>484061.588335022</v>
      </c>
      <c r="E600" s="71" t="n">
        <f aca="false">E51+E68+E82+E127+E156+E189+E219+E252+E298+E315+E328+E371+E384+E397+E414+E442+E485+E498+E530+E542+E553+E564</f>
        <v>21991.74</v>
      </c>
      <c r="F600" s="71" t="n">
        <f aca="false">F51+F68+F82+F127+F156+F189+F219+F252+F298+F315+F328+F371+F384+F397+F414+F442+F485+F498+F530+F542+F553+F564</f>
        <v>29156.39</v>
      </c>
      <c r="G600" s="71" t="n">
        <f aca="false">G51+G68+G82+G127+G156+G189+G219+G252+G298+G315+G328+G371+G384+G397+G414+G442+G485+G498+G530+G542+G553+G564</f>
        <v>32102.91</v>
      </c>
      <c r="H600" s="71" t="n">
        <f aca="false">H51+H68+H82+H127+H156+H189+H219+H252+H298+H315+H328+H371+H384+H397+H414+H442+H485+H498+H530+H542+H553+H564</f>
        <v>28351.43</v>
      </c>
      <c r="I600" s="71" t="n">
        <f aca="false">I51+I68+I82+I127+I156+I189+I219+I252+I298+I315+I328+I371+I384+I397+I414+I442+I485+I498+I530+I542+I553+I564</f>
        <v>30509.27</v>
      </c>
      <c r="J600" s="71" t="n">
        <f aca="false">J51+J68+J82+J127+J156+J189+J219+J252+J298+J315+J328+J371+J384+J397+J414+J442+J485+J498+J530+J542+J553+J564</f>
        <v>42959.87</v>
      </c>
      <c r="K600" s="71" t="n">
        <f aca="false">K51+K68+K82+K127+K156+K189+K219+K252+K298+K315+K328+K371+K384+K397+K414+K442+K485+K498+K530+K542+K553+K564</f>
        <v>36687.31</v>
      </c>
      <c r="L600" s="71" t="n">
        <f aca="false">L51+L68+L82+L127+L156+L189+L219+L252+L298+L315+L328+L371+L384+L397+L414+L442+L485+L498+L530+L542+L553+L564</f>
        <v>27215.38</v>
      </c>
      <c r="M600" s="71" t="n">
        <f aca="false">M51+M68+M82+M127+M156+M189+M219+M252+M298+M315+M328+M371+M384+M397+M414+M442+M485+M498+M530+M542+M553+M564</f>
        <v>44987.2644517755</v>
      </c>
      <c r="N600" s="71" t="n">
        <f aca="false">N51+N68+N82+N127+N156+N189+N219+N252+N298+N315+N328+N371+N384+N397+N414+N442+N485+N498+N530+N542+N553+N564</f>
        <v>37366.5123514487</v>
      </c>
      <c r="O600" s="71" t="n">
        <f aca="false">O51+O68+O82+O127+O156+O189+O219+O252+O298+O315+O328+O371+O384+O397+O414+O442+O485+O498+O530+O542+O553+O564</f>
        <v>36176.4418000003</v>
      </c>
      <c r="P600" s="71" t="n">
        <f aca="false">P51+P68+P82+P127+P156+P189+P219+P252+P298+P315+P328+P371+P384+P397+P414+P442+P485+P498+P530+P542+P553+P564</f>
        <v>41627.4907309686</v>
      </c>
      <c r="Q600" s="71" t="n">
        <f aca="false">Q51+Q68+Q82+Q127+Q156+Q189+Q219+Q252+Q298+Q315+Q328+Q371+Q384+Q397+Q414+Q442+Q485+Q498+Q530+Q542+Q553+Q564</f>
        <v>41298.2269325128</v>
      </c>
      <c r="R600" s="71" t="n">
        <f aca="false">R51+R68+R82+R127+R156+R189+R219+R252+R298+R315+R328+R371+R384+R397+R414+R442+R485+R498+R530+R542+R553+R564</f>
        <v>42765.075902863</v>
      </c>
      <c r="S600" s="71" t="n">
        <f aca="false">S51+S68+S82+S127+S156+S189+S219+S252+S298+S315+S328+S371+S384+S397+S414+S442+S485+S498+S530+S542+S553+S564</f>
        <v>42762.4184206476</v>
      </c>
      <c r="T600" s="71" t="n">
        <f aca="false">T51+T68+T82+T127+T156+T189+T219+T252+T298+T315+T328+T371+T384+T397+T414+T442+T485+T498+T530+T542+T553+T564</f>
        <v>43228.7828790233</v>
      </c>
      <c r="U600" s="71" t="n">
        <f aca="false">U51+U68+U82+U127+U156+U189+U219+U252+U298+U315+U328+U371+U384+U397+U414+U442+U485+U498+U530+U542+U553+U564</f>
        <v>32907.0823216882</v>
      </c>
      <c r="V600" s="71" t="n">
        <f aca="false">V51+V68+V82+V127+V156+V189+V219+V252+V298+V315+V328+V371+V384+V397+V414+V442+V485+V498+V530+V542+V553+V564</f>
        <v>42613.4382832617</v>
      </c>
      <c r="W600" s="71" t="n">
        <f aca="false">W51+W68+W82+W127+W156+W189+W219+W252+W298+W315+W328+W371+W384+W397+W414+W442+W485+W498+W530+W542+W553+W564</f>
        <v>40951.545655548</v>
      </c>
      <c r="X600" s="71" t="n">
        <f aca="false">X51+X68+X82+X127+X156+X189+X219+X252+X298+X315+X328+X371+X384+X397+X414+X442+X485+X498+X530+X542+X553+X564</f>
        <v>34708.6536166995</v>
      </c>
      <c r="Y600" s="71" t="n">
        <f aca="false">Y51+Y68+Y82+Y127+Y156+Y189+Y219+Y252+Y298+Y315+Y328+Y371+Y384+Y397+Y414+Y442+Y485+Y498+Y530+Y542+Y553+Y564</f>
        <v>43193.3814934483</v>
      </c>
      <c r="Z600" s="71" t="n">
        <f aca="false">Z51+Z68+Z82+Z127+Z156+Z189+Z219+Z252+Z298+Z315+Z328+Z371+Z384+Z397+Z414+Z442+Z485+Z498+Z530+Z542+Z553+Z564</f>
        <v>37756.7556521676</v>
      </c>
      <c r="AA600" s="71" t="n">
        <f aca="false">AA51+AA68+AA82+AA127+AA156+AA189+AA219+AA252+AA298+AA315+AA328+AA371+AA384+AA397+AA414+AA442+AA485+AA498+AA530+AA542+AA553+AA564</f>
        <v>39331.5852469667</v>
      </c>
      <c r="AB600" s="71" t="n">
        <f aca="false">AB51+AB68+AB82+AB127+AB156+AB189+AB219+AB252+AB298+AB315+AB328+AB371+AB384+AB397+AB414+AB442+AB485+AB498+AB530+AB542+AB553+AB564</f>
        <v>42544.6419301955</v>
      </c>
    </row>
    <row r="601" customFormat="false" ht="15" hidden="false" customHeight="false" outlineLevel="0" collapsed="false">
      <c r="A601" s="29" t="s">
        <v>841</v>
      </c>
      <c r="B601" s="60"/>
      <c r="C601" s="61" t="n">
        <f aca="false">SUM(E601:P601)</f>
        <v>502291.611894238</v>
      </c>
      <c r="D601" s="61" t="n">
        <f aca="false">SUM(Q601:AB601)</f>
        <v>505047.701798176</v>
      </c>
      <c r="E601" s="71" t="n">
        <f aca="false">E50+E67+E81+E98+E114+E126+E143+E155+E172+E188+E206+E218+E235+E251+E269+E285+E297+E314+E327+E344+E359+E370+E383+E396+E413+E430+E441+E458+E473+E484+E497+E514+E529+E541+E552+E563</f>
        <v>28198.98</v>
      </c>
      <c r="F601" s="71" t="n">
        <f aca="false">F50+F67+F81+F98+F114+F126+F143+F155+F172+F188+F206+F218+F235+F251+F269+F285+F297+F314+F327+F344+F359+F370+F383+F396+F413+F430+F441+F458+F473+F484+F497+F514+F529+F541+F552+F563</f>
        <v>35818.37</v>
      </c>
      <c r="G601" s="71" t="n">
        <f aca="false">G50+G67+G81+G98+G114+G126+G143+G155+G172+G188+G206+G218+G235+G251+G269+G285+G297+G314+G327+G344+G359+G370+G383+G396+G413+G430+G441+G458+G473+G484+G497+G514+G529+G541+G552+G563</f>
        <v>42356.45</v>
      </c>
      <c r="H601" s="71" t="n">
        <f aca="false">H50+H67+H81+H98+H114+H126+H143+H155+H172+H188+H206+H218+H235+H251+H269+H285+H297+H314+H327+H344+H359+H370+H383+H396+H413+H430+H441+H458+H473+H484+H497+H514+H529+H541+H552+H563</f>
        <v>34953.83</v>
      </c>
      <c r="I601" s="71" t="n">
        <f aca="false">I50+I67+I81+I98+I114+I126+I143+I155+I172+I188+I206+I218+I235+I251+I269+I285+I297+I314+I327+I344+I359+I370+I383+I396+I413+I430+I441+I458+I473+I484+I497+I514+I529+I541+I552+I563</f>
        <v>37562.55</v>
      </c>
      <c r="J601" s="71" t="n">
        <f aca="false">J50+J67+J81+J98+J114+J126+J143+J155+J172+J188+J206+J218+J235+J251+J269+J285+J297+J314+J327+J344+J359+J370+J383+J396+J413+J430+J441+J458+J473+J484+J497+J514+J529+J541+J552+J563</f>
        <v>53154.03</v>
      </c>
      <c r="K601" s="71" t="n">
        <f aca="false">K50+K67+K81+K98+K114+K126+K143+K155+K172+K188+K206+K218+K235+K251+K269+K285+K297+K314+K327+K344+K359+K370+K383+K396+K413+K430+K441+K458+K473+K484+K497+K514+K529+K541+K552+K563</f>
        <v>44839.39</v>
      </c>
      <c r="L601" s="71" t="n">
        <f aca="false">L50+L67+L81+L98+L114+L126+L143+L155+L172+L188+L206+L218+L235+L251+L269+L285+L297+L314+L327+L344+L359+L370+L383+L396+L413+L430+L441+L458+L473+L484+L497+L514+L529+L541+L552+L563</f>
        <v>35365.45</v>
      </c>
      <c r="M601" s="71" t="n">
        <f aca="false">M50+M67+M81+M98+M114+M126+M143+M155+M172+M188+M206+M218+M235+M251+M269+M285+M297+M314+M327+M344+M359+M370+M383+M396+M413+M430+M441+M458+M473+M484+M497+M514+M529+M541+M552+M563</f>
        <v>53939.5739013985</v>
      </c>
      <c r="N601" s="71" t="n">
        <f aca="false">N50+N67+N81+N98+N114+N126+N143+N155+N172+N188+N206+N218+N235+N251+N269+N285+N297+N314+N327+N344+N359+N370+N383+N396+N413+N430+N441+N458+N473+N484+N497+N514+N529+N541+N552+N563</f>
        <v>46396.4670882925</v>
      </c>
      <c r="O601" s="71" t="n">
        <f aca="false">O50+O67+O81+O98+O114+O126+O143+O155+O172+O188+O206+O218+O235+O251+O269+O285+O297+O314+O327+O344+O359+O370+O383+O396+O413+O430+O441+O458+O473+O484+O497+O514+O529+O541+O552+O563</f>
        <v>43018.6810149219</v>
      </c>
      <c r="P601" s="71" t="n">
        <f aca="false">P50+P67+P81+P98+P114+P126+P143+P155+P172+P188+P206+P218+P235+P251+P269+P285+P297+P314+P327+P344+P359+P370+P383+P396+P413+P430+P441+P458+P473+P484+P497+P514+P529+P541+P552+P563</f>
        <v>46687.8398896253</v>
      </c>
      <c r="Q601" s="71" t="n">
        <f aca="false">Q50+Q67+Q81+Q98+Q114+Q126+Q143+Q155+Q172+Q188+Q206+Q218+Q235+Q251+Q269+Q285+Q297+Q314+Q327+Q344+Q359+Q370+Q383+Q396+Q413+Q430+Q441+Q458+Q473+Q484+Q497+Q514+Q529+Q541+Q552+Q563</f>
        <v>44887.6034439245</v>
      </c>
      <c r="R601" s="71" t="n">
        <f aca="false">R50+R67+R81+R98+R114+R126+R143+R155+R172+R188+R206+R218+R235+R251+R269+R285+R297+R314+R327+R344+R359+R370+R383+R396+R413+R430+R441+R458+R473+R484+R497+R514+R529+R541+R552+R563</f>
        <v>46756.0516064176</v>
      </c>
      <c r="S601" s="71" t="n">
        <f aca="false">S50+S67+S81+S98+S114+S126+S143+S155+S172+S188+S206+S218+S235+S251+S269+S285+S297+S314+S327+S344+S359+S370+S383+S396+S413+S430+S441+S458+S473+S484+S497+S514+S529+S541+S552+S563</f>
        <v>47043.6469026425</v>
      </c>
      <c r="T601" s="71" t="n">
        <f aca="false">T50+T67+T81+T98+T114+T126+T143+T155+T172+T188+T206+T218+T235+T251+T269+T285+T297+T314+T327+T344+T359+T370+T383+T396+T413+T430+T441+T458+T473+T484+T497+T514+T529+T541+T552+T563</f>
        <v>46339.2692437908</v>
      </c>
      <c r="U601" s="71" t="n">
        <f aca="false">U50+U67+U81+U98+U114+U126+U143+U155+U172+U188+U206+U218+U235+U251+U269+U285+U297+U314+U327+U344+U359+U370+U383+U396+U413+U430+U441+U458+U473+U484+U497+U514+U529+U541+U552+U563</f>
        <v>35277.7773348353</v>
      </c>
      <c r="V601" s="71" t="n">
        <f aca="false">V50+V67+V81+V98+V114+V126+V143+V155+V172+V188+V206+V218+V235+V251+V269+V285+V297+V314+V327+V344+V359+V370+V383+V396+V413+V430+V441+V458+V473+V484+V497+V514+V529+V541+V552+V563</f>
        <v>45092.5455982637</v>
      </c>
      <c r="W601" s="71" t="n">
        <f aca="false">W50+W67+W81+W98+W114+W126+W143+W155+W172+W188+W206+W218+W235+W251+W269+W285+W297+W314+W327+W344+W359+W370+W383+W396+W413+W430+W441+W458+W473+W484+W497+W514+W529+W541+W552+W563</f>
        <v>42115.7897288238</v>
      </c>
      <c r="X601" s="71" t="n">
        <f aca="false">X50+X67+X81+X98+X114+X126+X143+X155+X172+X188+X206+X218+X235+X251+X269+X285+X297+X314+X327+X344+X359+X370+X383+X396+X413+X430+X441+X458+X473+X484+X497+X514+X529+X541+X552+X563</f>
        <v>34708.6536166995</v>
      </c>
      <c r="Y601" s="71" t="n">
        <f aca="false">Y50+Y67+Y81+Y98+Y114+Y126+Y143+Y155+Y172+Y188+Y206+Y218+Y235+Y251+Y269+Y285+Y297+Y314+Y327+Y344+Y359+Y370+Y383+Y396+Y413+Y430+Y441+Y458+Y473+Y484+Y497+Y514+Y529+Y541+Y552+Y563</f>
        <v>43193.3814934483</v>
      </c>
      <c r="Z601" s="71" t="n">
        <f aca="false">Z50+Z67+Z81+Z98+Z114+Z126+Z143+Z155+Z172+Z188+Z206+Z218+Z235+Z251+Z269+Z285+Z297+Z314+Z327+Z344+Z359+Z370+Z383+Z396+Z413+Z430+Z441+Z458+Z473+Z484+Z497+Z514+Z529+Z541+Z552+Z563</f>
        <v>37756.7556521676</v>
      </c>
      <c r="AA601" s="71" t="n">
        <f aca="false">AA50+AA67+AA81+AA98+AA114+AA126+AA143+AA155+AA172+AA188+AA206+AA218+AA235+AA251+AA269+AA285+AA297+AA314+AA327+AA344+AA359+AA370+AA383+AA396+AA413+AA430+AA441+AA458+AA473+AA484+AA497+AA514+AA529+AA541+AA552+AA563</f>
        <v>39331.5852469667</v>
      </c>
      <c r="AB601" s="71" t="n">
        <f aca="false">AB50+AB67+AB81+AB98+AB114+AB126+AB143+AB155+AB172+AB188+AB206+AB218+AB235+AB251+AB269+AB285+AB297+AB314+AB327+AB344+AB359+AB370+AB383+AB396+AB413+AB430+AB441+AB458+AB473+AB484+AB497+AB514+AB529+AB541+AB552+AB563</f>
        <v>42544.6419301955</v>
      </c>
    </row>
    <row r="602" customFormat="false" ht="15" hidden="false" customHeight="false" outlineLevel="0" collapsed="false">
      <c r="A602" s="29" t="s">
        <v>838</v>
      </c>
      <c r="B602" s="60"/>
      <c r="C602" s="61" t="n">
        <f aca="false">SUM(E602:P602)</f>
        <v>6955911.4796078</v>
      </c>
      <c r="D602" s="61" t="n">
        <f aca="false">SUM(Q602:AB602)</f>
        <v>7586812.6083393</v>
      </c>
      <c r="E602" s="71" t="n">
        <f aca="false">E48+E65+E79+E96+E112+E124+E141+E153+E170+E186+E204+E216+E233+E249+E267+E283+E295+E312+E325+E342+E357+E368+E381+E394+E411+E428+E439+E456+E471+E482+E495+E512+E527+E540+E551+E562</f>
        <v>424757.54</v>
      </c>
      <c r="F602" s="71" t="n">
        <f aca="false">F48+F65+F79+F96+F112+F124+F141+F153+F170+F186+F204+F216+F233+F249+F267+F283+F295+F312+F325+F342+F357+F368+F381+F394+F411+F428+F439+F456+F471+F482+F495+F512+F527+F540+F551+F562</f>
        <v>470748.08</v>
      </c>
      <c r="G602" s="71" t="n">
        <f aca="false">G48+G65+G79+G96+G112+G124+G141+G153+G170+G186+G204+G216+G233+G249+G267+G283+G295+G312+G325+G342+G357+G368+G381+G394+G411+G428+G439+G456+G471+G482+G495+G512+G527+G540+G551+G562</f>
        <v>497365.35</v>
      </c>
      <c r="H602" s="71" t="n">
        <f aca="false">H48+H65+H79+H96+H112+H124+H141+H153+H170+H186+H204+H216+H233+H249+H267+H283+H295+H312+H325+H342+H357+H368+H381+H394+H411+H428+H439+H456+H471+H482+H495+H512+H527+H540+H551+H562</f>
        <v>638677.81</v>
      </c>
      <c r="I602" s="71" t="n">
        <f aca="false">I48+I65+I79+I96+I112+I124+I141+I153+I170+I186+I204+I216+I233+I249+I267+I283+I295+I312+I325+I342+I357+I368+I381+I394+I411+I428+I439+I456+I471+I482+I495+I512+I527+I540+I551+I562</f>
        <v>509716.09</v>
      </c>
      <c r="J602" s="71" t="n">
        <f aca="false">J48+J65+J79+J96+J112+J124+J141+J153+J170+J186+J204+J216+J233+J249+J267+J283+J295+J312+J325+J342+J357+J368+J381+J394+J411+J428+J439+J456+J471+J482+J495+J512+J527+J540+J551+J562</f>
        <v>665991.24</v>
      </c>
      <c r="K602" s="71" t="n">
        <f aca="false">K48+K65+K79+K96+K112+K124+K141+K153+K170+K186+K204+K216+K233+K249+K267+K283+K295+K312+K325+K342+K357+K368+K381+K394+K411+K428+K439+K456+K471+K482+K495+K512+K527+K540+K551+K562</f>
        <v>664583.73</v>
      </c>
      <c r="L602" s="71" t="n">
        <f aca="false">L48+L65+L79+L96+L112+L124+L141+L153+L170+L186+L204+L216+L233+L249+L267+L283+L295+L312+L325+L342+L357+L368+L381+L394+L411+L428+L439+L456+L471+L482+L495+L512+L527+L540+L551+L562</f>
        <v>591648.8</v>
      </c>
      <c r="M602" s="71" t="n">
        <f aca="false">M48+M65+M79+M96+M112+M124+M141+M153+M170+M186+M204+M216+M233+M249+M267+M283+M295+M312+M325+M342+M357+M368+M381+M394+M411+M428+M439+M456+M471+M482+M495+M512+M527+M540+M551+M562</f>
        <v>517622.9386</v>
      </c>
      <c r="N602" s="71" t="n">
        <f aca="false">N48+N65+N79+N96+N112+N124+N141+N153+N170+N186+N204+N216+N233+N249+N267+N283+N295+N312+N325+N342+N357+N368+N381+N394+N411+N428+N439+N456+N471+N482+N495+N512+N527+N540+N551+N562</f>
        <v>659431.988825276</v>
      </c>
      <c r="O602" s="71" t="n">
        <f aca="false">O48+O65+O79+O96+O112+O124+O141+O153+O170+O186+O204+O216+O233+O249+O267+O283+O295+O312+O325+O342+O357+O368+O381+O394+O411+O428+O439+O456+O471+O482+O495+O512+O527+O540+O551+O562</f>
        <v>622970.945154611</v>
      </c>
      <c r="P602" s="71" t="n">
        <f aca="false">P48+P65+P79+P96+P112+P124+P141+P153+P170+P186+P204+P216+P233+P249+P267+P283+P295+P312+P325+P342+P357+P368+P381+P394+P411+P428+P439+P456+P471+P482+P495+P512+P527+P540+P551+P562</f>
        <v>692396.967027908</v>
      </c>
      <c r="Q602" s="71" t="n">
        <f aca="false">Q48+Q65+Q79+Q96+Q112+Q124+Q141+Q153+Q170+Q186+Q204+Q216+Q233+Q249+Q267+Q283+Q295+Q312+Q325+Q342+Q357+Q368+Q381+Q394+Q411+Q428+Q439+Q456+Q471+Q482+Q495+Q512+Q527+Q540+Q551+Q562</f>
        <v>688311.866741596</v>
      </c>
      <c r="R602" s="71" t="n">
        <f aca="false">R48+R65+R79+R96+R112+R124+R141+R153+R170+R186+R204+R216+R233+R249+R267+R283+R295+R312+R325+R342+R357+R368+R381+R394+R411+R428+R439+R456+R471+R482+R495+R512+R527+R540+R551+R562</f>
        <v>690965.086402941</v>
      </c>
      <c r="S602" s="71" t="n">
        <f aca="false">S48+S65+S79+S96+S112+S124+S141+S153+S170+S186+S204+S216+S233+S249+S267+S283+S295+S312+S325+S342+S357+S368+S381+S394+S411+S428+S439+S456+S471+S482+S495+S512+S527+S540+S551+S562</f>
        <v>638449.694600897</v>
      </c>
      <c r="T602" s="71" t="n">
        <f aca="false">T48+T65+T79+T96+T112+T124+T141+T153+T170+T186+T204+T216+T233+T249+T267+T283+T295+T312+T325+T342+T357+T368+T381+T394+T411+T428+T439+T456+T471+T482+T495+T512+T527+T540+T551+T562</f>
        <v>652328.217169786</v>
      </c>
      <c r="U602" s="71" t="n">
        <f aca="false">U48+U65+U79+U96+U112+U124+U141+U153+U170+U186+U204+U216+U233+U249+U267+U283+U295+U312+U325+U342+U357+U368+U381+U394+U411+U428+U439+U456+U471+U482+U495+U512+U527+U540+U551+U562</f>
        <v>689731.49364005</v>
      </c>
      <c r="V602" s="71" t="n">
        <f aca="false">V48+V65+V79+V96+V112+V124+V141+V153+V170+V186+V204+V216+V233+V249+V267+V283+V295+V312+V325+V342+V357+V368+V381+V394+V411+V428+V439+V456+V471+V482+V495+V512+V527+V540+V551+V562</f>
        <v>497482.250157692</v>
      </c>
      <c r="W602" s="71" t="n">
        <f aca="false">W48+W65+W79+W96+W112+W124+W141+W153+W170+W186+W204+W216+W233+W249+W267+W283+W295+W312+W325+W342+W357+W368+W381+W394+W411+W428+W439+W456+W471+W482+W495+W512+W527+W540+W551+W562</f>
        <v>675044.35349724</v>
      </c>
      <c r="X602" s="71" t="n">
        <f aca="false">X48+X65+X79+X96+X112+X124+X141+X153+X170+X186+X204+X216+X233+X249+X267+X283+X295+X312+X325+X342+X357+X368+X381+X394+X411+X428+X439+X456+X471+X482+X495+X512+X527+X540+X551+X562</f>
        <v>624591.956849515</v>
      </c>
      <c r="Y602" s="71" t="n">
        <f aca="false">Y48+Y65+Y79+Y96+Y112+Y124+Y141+Y153+Y170+Y186+Y204+Y216+Y233+Y249+Y267+Y283+Y295+Y312+Y325+Y342+Y357+Y368+Y381+Y394+Y411+Y428+Y439+Y456+Y471+Y482+Y495+Y512+Y527+Y540+Y551+Y562</f>
        <v>553784.479127127</v>
      </c>
      <c r="Z602" s="71" t="n">
        <f aca="false">Z48+Z65+Z79+Z96+Z112+Z124+Z141+Z153+Z170+Z186+Z204+Z216+Z233+Z249+Z267+Z283+Z295+Z312+Z325+Z342+Z357+Z368+Z381+Z394+Z411+Z428+Z439+Z456+Z471+Z482+Z495+Z512+Z527+Z540+Z551+Z562</f>
        <v>643917.957139952</v>
      </c>
      <c r="AA602" s="71" t="n">
        <f aca="false">AA48+AA65+AA79+AA96+AA112+AA124+AA141+AA153+AA170+AA186+AA204+AA216+AA233+AA249+AA267+AA283+AA295+AA312+AA325+AA342+AA357+AA368+AA381+AA394+AA411+AA428+AA439+AA456+AA471+AA482+AA495+AA512+AA527+AA540+AA551+AA562</f>
        <v>600078.567973118</v>
      </c>
      <c r="AB602" s="71" t="n">
        <f aca="false">AB48+AB65+AB79+AB96+AB112+AB124+AB141+AB153+AB170+AB186+AB204+AB216+AB233+AB249+AB267+AB283+AB295+AB312+AB325+AB342+AB357+AB368+AB381+AB394+AB411+AB428+AB439+AB456+AB471+AB482+AB495+AB512+AB527+AB540+AB551+AB562</f>
        <v>632126.685039381</v>
      </c>
    </row>
    <row r="603" customFormat="false" ht="15" hidden="false" customHeight="false" outlineLevel="0" collapsed="false">
      <c r="A603" s="29" t="s">
        <v>845</v>
      </c>
      <c r="B603" s="60"/>
      <c r="C603" s="61" t="n">
        <f aca="false">SUM(E603:P603)</f>
        <v>386119.178603225</v>
      </c>
      <c r="D603" s="61" t="n">
        <f aca="false">SUM(Q603:AB603)</f>
        <v>483144.437135795</v>
      </c>
      <c r="E603" s="71" t="n">
        <f aca="false">E52+E69+E83+E128+E157+E190+E220+E253+E299+E316+E329+E372+E385+E398+E415+E443+E486+E499+E531+E543+E554+E565</f>
        <v>18614.66</v>
      </c>
      <c r="F603" s="71" t="n">
        <f aca="false">F52+F69+F83+F128+F157+F190+F220+F253+F299+F316+F329+F372+F385+F398+F415+F443+F486+F499+F531+F543+F554+F565</f>
        <v>21991.74</v>
      </c>
      <c r="G603" s="71" t="n">
        <f aca="false">G52+G69+G83+G128+G157+G190+G220+G253+G299+G316+G329+G372+G385+G398+G415+G443+G486+G499+G531+G543+G554+G565</f>
        <v>29156.39</v>
      </c>
      <c r="H603" s="71" t="n">
        <f aca="false">H52+H69+H83+H128+H157+H190+H220+H253+H299+H316+H329+H372+H385+H398+H415+H443+H486+H499+H531+H543+H554+H565</f>
        <v>32102.91</v>
      </c>
      <c r="I603" s="71" t="n">
        <f aca="false">I52+I69+I83+I128+I157+I190+I220+I253+I299+I316+I329+I372+I385+I398+I415+I443+I486+I499+I531+I543+I554+I565</f>
        <v>28351.43</v>
      </c>
      <c r="J603" s="71" t="n">
        <f aca="false">J52+J69+J83+J128+J157+J190+J220+J253+J299+J316+J329+J372+J385+J398+J415+J443+J486+J499+J531+J543+J554+J565</f>
        <v>30509.27</v>
      </c>
      <c r="K603" s="71" t="n">
        <f aca="false">K52+K69+K83+K128+K157+K190+K220+K253+K299+K316+K329+K372+K385+K398+K415+K443+K486+K499+K531+K543+K554+K565</f>
        <v>42959.87</v>
      </c>
      <c r="L603" s="71" t="n">
        <f aca="false">L52+L69+L83+L128+L157+L190+L220+L253+L299+L316+L329+L372+L385+L398+L415+L443+L486+L499+L531+L543+L554+L565</f>
        <v>36687.31</v>
      </c>
      <c r="M603" s="71" t="n">
        <f aca="false">M52+M69+M83+M128+M157+M190+M220+M253+M299+M316+M329+M372+M385+M398+M415+M443+M486+M499+M531+M543+M554+M565</f>
        <v>27215.38</v>
      </c>
      <c r="N603" s="71" t="n">
        <f aca="false">N52+N69+N83+N128+N157+N190+N220+N253+N299+N316+N329+N372+N385+N398+N415+N443+N486+N499+N531+N543+N554+N565</f>
        <v>44987.2644517755</v>
      </c>
      <c r="O603" s="71" t="n">
        <f aca="false">O52+O69+O83+O128+O157+O190+O220+O253+O299+O316+O329+O372+O385+O398+O415+O443+O486+O499+O531+O543+O554+O565</f>
        <v>37366.5123514487</v>
      </c>
      <c r="P603" s="71" t="n">
        <f aca="false">P52+P69+P83+P128+P157+P190+P220+P253+P299+P316+P329+P372+P385+P398+P415+P443+P486+P499+P531+P543+P554+P565</f>
        <v>36176.4418000003</v>
      </c>
      <c r="Q603" s="71" t="n">
        <f aca="false">Q52+Q69+Q83+Q128+Q157+Q190+Q220+Q253+Q299+Q316+Q329+Q372+Q385+Q398+Q415+Q443+Q486+Q499+Q531+Q543+Q554+Q565</f>
        <v>41627.4907309686</v>
      </c>
      <c r="R603" s="71" t="n">
        <f aca="false">R52+R69+R83+R128+R157+R190+R220+R253+R299+R316+R329+R372+R385+R398+R415+R443+R486+R499+R531+R543+R554+R565</f>
        <v>41298.2269325128</v>
      </c>
      <c r="S603" s="71" t="n">
        <f aca="false">S52+S69+S83+S128+S157+S190+S220+S253+S299+S316+S329+S372+S385+S398+S415+S443+S486+S499+S531+S543+S554+S565</f>
        <v>42765.075902863</v>
      </c>
      <c r="T603" s="71" t="n">
        <f aca="false">T52+T69+T83+T128+T157+T190+T220+T253+T299+T316+T329+T372+T385+T398+T415+T443+T486+T499+T531+T543+T554+T565</f>
        <v>42762.4184206476</v>
      </c>
      <c r="U603" s="71" t="n">
        <f aca="false">U52+U69+U83+U128+U157+U190+U220+U253+U299+U316+U329+U372+U385+U398+U415+U443+U486+U499+U531+U543+U554+U565</f>
        <v>43228.7828790233</v>
      </c>
      <c r="V603" s="71" t="n">
        <f aca="false">V52+V69+V83+V128+V157+V190+V220+V253+V299+V316+V329+V372+V385+V398+V415+V443+V486+V499+V531+V543+V554+V565</f>
        <v>32907.0823216882</v>
      </c>
      <c r="W603" s="71" t="n">
        <f aca="false">W52+W69+W83+W128+W157+W190+W220+W253+W299+W316+W329+W372+W385+W398+W415+W443+W486+W499+W531+W543+W554+W565</f>
        <v>42613.4382832617</v>
      </c>
      <c r="X603" s="71" t="n">
        <f aca="false">X52+X69+X83+X128+X157+X190+X220+X253+X299+X316+X329+X372+X385+X398+X415+X443+X486+X499+X531+X543+X554+X565</f>
        <v>40951.545655548</v>
      </c>
      <c r="Y603" s="71" t="n">
        <f aca="false">Y52+Y69+Y83+Y128+Y157+Y190+Y220+Y253+Y299+Y316+Y329+Y372+Y385+Y398+Y415+Y443+Y486+Y499+Y531+Y543+Y554+Y565</f>
        <v>34708.6536166995</v>
      </c>
      <c r="Z603" s="71" t="n">
        <f aca="false">Z52+Z69+Z83+Z128+Z157+Z190+Z220+Z253+Z299+Z316+Z329+Z372+Z385+Z398+Z415+Z443+Z486+Z499+Z531+Z543+Z554+Z565</f>
        <v>43193.3814934483</v>
      </c>
      <c r="AA603" s="71" t="n">
        <f aca="false">AA52+AA69+AA83+AA128+AA157+AA190+AA220+AA253+AA299+AA316+AA329+AA372+AA385+AA398+AA415+AA443+AA486+AA499+AA531+AA543+AA554+AA565</f>
        <v>37756.7556521676</v>
      </c>
      <c r="AB603" s="71" t="n">
        <f aca="false">AB52+AB69+AB83+AB128+AB157+AB190+AB220+AB253+AB299+AB316+AB329+AB372+AB385+AB398+AB415+AB443+AB486+AB499+AB531+AB543+AB554+AB565</f>
        <v>39331.5852469667</v>
      </c>
    </row>
    <row r="604" customFormat="false" ht="15" hidden="false" customHeight="false" outlineLevel="0" collapsed="false">
      <c r="A604" s="29" t="s">
        <v>938</v>
      </c>
      <c r="B604" s="60" t="s">
        <v>939</v>
      </c>
      <c r="C604" s="61" t="n">
        <f aca="false">P604</f>
        <v>660475.621276847</v>
      </c>
      <c r="D604" s="61" t="n">
        <f aca="false">AB604</f>
        <v>726433.972420348</v>
      </c>
      <c r="E604" s="71" t="n">
        <f aca="false">MAX(0,E53)+MAX(0,E70)+MAX(0,E84)+MAX(0,E99)+MAX(0,E115)+MAX(0,E129)+MAX(0,E144)+MAX(0,E158)+MAX(0,E173)+MAX(0,E191)+MAX(0,E207)+MAX(0,E221)+MAX(0,E236)+MAX(0,E254)+MAX(0,E270)+MAX(0,E286)+MAX(0,E300)+MAX(0,E317)+MAX(0,E330)+MAX(0,E345)+MAX(0,E360)+MAX(0,E373)+MAX(0,E386)+MAX(0,E399)+MAX(0,E416)+MAX(0,E431)+MAX(0,E444)+MAX(0,E459)+MAX(0,E474)+MAX(0,E487)+MAX(0,E500)+MAX(0,E515)+MAX(0,E532)+MAX(0,E544)+MAX(0,E555)+MAX(0,E566)</f>
        <v>416046.58</v>
      </c>
      <c r="F604" s="71" t="n">
        <f aca="false">MAX(0,F53)+MAX(0,F70)+MAX(0,F84)+MAX(0,F99)+MAX(0,F115)+MAX(0,F129)+MAX(0,F144)+MAX(0,F158)+MAX(0,F173)+MAX(0,F191)+MAX(0,F207)+MAX(0,F221)+MAX(0,F236)+MAX(0,F254)+MAX(0,F270)+MAX(0,F286)+MAX(0,F300)+MAX(0,F317)+MAX(0,F330)+MAX(0,F345)+MAX(0,F360)+MAX(0,F373)+MAX(0,F386)+MAX(0,F399)+MAX(0,F416)+MAX(0,F431)+MAX(0,F444)+MAX(0,F459)+MAX(0,F474)+MAX(0,F487)+MAX(0,F500)+MAX(0,F515)+MAX(0,F532)+MAX(0,F544)+MAX(0,F555)+MAX(0,F566)</f>
        <v>439546.84</v>
      </c>
      <c r="G604" s="71" t="n">
        <f aca="false">MAX(0,G53)+MAX(0,G70)+MAX(0,G84)+MAX(0,G99)+MAX(0,G115)+MAX(0,G129)+MAX(0,G144)+MAX(0,G158)+MAX(0,G173)+MAX(0,G191)+MAX(0,G207)+MAX(0,G221)+MAX(0,G236)+MAX(0,G254)+MAX(0,G270)+MAX(0,G286)+MAX(0,G300)+MAX(0,G317)+MAX(0,G330)+MAX(0,G345)+MAX(0,G360)+MAX(0,G373)+MAX(0,G386)+MAX(0,G399)+MAX(0,G416)+MAX(0,G431)+MAX(0,G444)+MAX(0,G459)+MAX(0,G474)+MAX(0,G487)+MAX(0,G500)+MAX(0,G515)+MAX(0,G532)+MAX(0,G544)+MAX(0,G555)+MAX(0,G566)</f>
        <v>560306.13</v>
      </c>
      <c r="H604" s="71" t="n">
        <f aca="false">MAX(0,H53)+MAX(0,H70)+MAX(0,H84)+MAX(0,H99)+MAX(0,H115)+MAX(0,H129)+MAX(0,H144)+MAX(0,H158)+MAX(0,H173)+MAX(0,H191)+MAX(0,H207)+MAX(0,H221)+MAX(0,H236)+MAX(0,H254)+MAX(0,H270)+MAX(0,H286)+MAX(0,H300)+MAX(0,H317)+MAX(0,H330)+MAX(0,H345)+MAX(0,H360)+MAX(0,H373)+MAX(0,H386)+MAX(0,H399)+MAX(0,H416)+MAX(0,H431)+MAX(0,H444)+MAX(0,H459)+MAX(0,H474)+MAX(0,H487)+MAX(0,H500)+MAX(0,H515)+MAX(0,H532)+MAX(0,H544)+MAX(0,H555)+MAX(0,H566)</f>
        <v>470979.52</v>
      </c>
      <c r="I604" s="71" t="n">
        <f aca="false">MAX(0,I53)+MAX(0,I70)+MAX(0,I84)+MAX(0,I99)+MAX(0,I115)+MAX(0,I129)+MAX(0,I144)+MAX(0,I158)+MAX(0,I173)+MAX(0,I191)+MAX(0,I207)+MAX(0,I221)+MAX(0,I236)+MAX(0,I254)+MAX(0,I270)+MAX(0,I286)+MAX(0,I300)+MAX(0,I317)+MAX(0,I330)+MAX(0,I345)+MAX(0,I360)+MAX(0,I373)+MAX(0,I386)+MAX(0,I399)+MAX(0,I416)+MAX(0,I431)+MAX(0,I444)+MAX(0,I459)+MAX(0,I474)+MAX(0,I487)+MAX(0,I500)+MAX(0,I515)+MAX(0,I532)+MAX(0,I544)+MAX(0,I555)+MAX(0,I566)</f>
        <v>497583.64</v>
      </c>
      <c r="J604" s="71" t="n">
        <f aca="false">MAX(0,J53)+MAX(0,J70)+MAX(0,J84)+MAX(0,J99)+MAX(0,J115)+MAX(0,J129)+MAX(0,J144)+MAX(0,J158)+MAX(0,J173)+MAX(0,J191)+MAX(0,J207)+MAX(0,J221)+MAX(0,J236)+MAX(0,J254)+MAX(0,J270)+MAX(0,J286)+MAX(0,J300)+MAX(0,J317)+MAX(0,J330)+MAX(0,J345)+MAX(0,J360)+MAX(0,J373)+MAX(0,J386)+MAX(0,J399)+MAX(0,J416)+MAX(0,J431)+MAX(0,J444)+MAX(0,J459)+MAX(0,J474)+MAX(0,J487)+MAX(0,J500)+MAX(0,J515)+MAX(0,J532)+MAX(0,J544)+MAX(0,J555)+MAX(0,J566)</f>
        <v>572638.86</v>
      </c>
      <c r="K604" s="71" t="n">
        <f aca="false">MAX(0,K53)+MAX(0,K70)+MAX(0,K84)+MAX(0,K99)+MAX(0,K115)+MAX(0,K129)+MAX(0,K144)+MAX(0,K158)+MAX(0,K173)+MAX(0,K191)+MAX(0,K207)+MAX(0,K221)+MAX(0,K236)+MAX(0,K254)+MAX(0,K270)+MAX(0,K286)+MAX(0,K300)+MAX(0,K317)+MAX(0,K330)+MAX(0,K345)+MAX(0,K360)+MAX(0,K373)+MAX(0,K386)+MAX(0,K399)+MAX(0,K416)+MAX(0,K431)+MAX(0,K444)+MAX(0,K459)+MAX(0,K474)+MAX(0,K487)+MAX(0,K500)+MAX(0,K515)+MAX(0,K532)+MAX(0,K544)+MAX(0,K555)+MAX(0,K566)</f>
        <v>469393.58</v>
      </c>
      <c r="L604" s="71" t="n">
        <f aca="false">MAX(0,L53)+MAX(0,L70)+MAX(0,L84)+MAX(0,L99)+MAX(0,L115)+MAX(0,L129)+MAX(0,L144)+MAX(0,L158)+MAX(0,L173)+MAX(0,L191)+MAX(0,L207)+MAX(0,L221)+MAX(0,L236)+MAX(0,L254)+MAX(0,L270)+MAX(0,L286)+MAX(0,L300)+MAX(0,L317)+MAX(0,L330)+MAX(0,L345)+MAX(0,L360)+MAX(0,L373)+MAX(0,L386)+MAX(0,L399)+MAX(0,L416)+MAX(0,L431)+MAX(0,L444)+MAX(0,L459)+MAX(0,L474)+MAX(0,L487)+MAX(0,L500)+MAX(0,L515)+MAX(0,L532)+MAX(0,L544)+MAX(0,L555)+MAX(0,L566)</f>
        <v>375257.74</v>
      </c>
      <c r="M604" s="71" t="n">
        <f aca="false">MAX(0,M53)+MAX(0,M70)+MAX(0,M84)+MAX(0,M99)+MAX(0,M115)+MAX(0,M129)+MAX(0,M144)+MAX(0,M158)+MAX(0,M173)+MAX(0,M191)+MAX(0,M207)+MAX(0,M221)+MAX(0,M236)+MAX(0,M254)+MAX(0,M270)+MAX(0,M286)+MAX(0,M300)+MAX(0,M317)+MAX(0,M330)+MAX(0,M345)+MAX(0,M360)+MAX(0,M373)+MAX(0,M386)+MAX(0,M399)+MAX(0,M416)+MAX(0,M431)+MAX(0,M444)+MAX(0,M459)+MAX(0,M474)+MAX(0,M487)+MAX(0,M500)+MAX(0,M515)+MAX(0,M532)+MAX(0,M544)+MAX(0,M555)+MAX(0,M566)</f>
        <v>584166.354642452</v>
      </c>
      <c r="N604" s="71" t="n">
        <f aca="false">MAX(0,N53)+MAX(0,N70)+MAX(0,N84)+MAX(0,N99)+MAX(0,N115)+MAX(0,N129)+MAX(0,N144)+MAX(0,N158)+MAX(0,N173)+MAX(0,N191)+MAX(0,N207)+MAX(0,N221)+MAX(0,N236)+MAX(0,N254)+MAX(0,N270)+MAX(0,N286)+MAX(0,N300)+MAX(0,N317)+MAX(0,N330)+MAX(0,N345)+MAX(0,N360)+MAX(0,N373)+MAX(0,N386)+MAX(0,N399)+MAX(0,N416)+MAX(0,N431)+MAX(0,N444)+MAX(0,N459)+MAX(0,N474)+MAX(0,N487)+MAX(0,N500)+MAX(0,N515)+MAX(0,N532)+MAX(0,N544)+MAX(0,N555)+MAX(0,N566)</f>
        <v>579554.721362151</v>
      </c>
      <c r="O604" s="71" t="n">
        <f aca="false">MAX(0,O53)+MAX(0,O70)+MAX(0,O84)+MAX(0,O99)+MAX(0,O115)+MAX(0,O129)+MAX(0,O144)+MAX(0,O158)+MAX(0,O173)+MAX(0,O191)+MAX(0,O207)+MAX(0,O221)+MAX(0,O236)+MAX(0,O254)+MAX(0,O270)+MAX(0,O286)+MAX(0,O300)+MAX(0,O317)+MAX(0,O330)+MAX(0,O345)+MAX(0,O360)+MAX(0,O373)+MAX(0,O386)+MAX(0,O399)+MAX(0,O416)+MAX(0,O431)+MAX(0,O444)+MAX(0,O459)+MAX(0,O474)+MAX(0,O487)+MAX(0,O500)+MAX(0,O515)+MAX(0,O532)+MAX(0,O544)+MAX(0,O555)+MAX(0,O566)</f>
        <v>627286.194548813</v>
      </c>
      <c r="P604" s="71" t="n">
        <f aca="false">MAX(0,P53)+MAX(0,P70)+MAX(0,P84)+MAX(0,P99)+MAX(0,P115)+MAX(0,P129)+MAX(0,P144)+MAX(0,P158)+MAX(0,P173)+MAX(0,P191)+MAX(0,P207)+MAX(0,P221)+MAX(0,P236)+MAX(0,P254)+MAX(0,P270)+MAX(0,P286)+MAX(0,P300)+MAX(0,P317)+MAX(0,P330)+MAX(0,P345)+MAX(0,P360)+MAX(0,P373)+MAX(0,P386)+MAX(0,P399)+MAX(0,P416)+MAX(0,P431)+MAX(0,P444)+MAX(0,P459)+MAX(0,P474)+MAX(0,P487)+MAX(0,P500)+MAX(0,P515)+MAX(0,P532)+MAX(0,P544)+MAX(0,P555)+MAX(0,P566)</f>
        <v>660475.621276847</v>
      </c>
      <c r="Q604" s="71" t="n">
        <f aca="false">MAX(0,Q53)+MAX(0,Q70)+MAX(0,Q84)+MAX(0,Q99)+MAX(0,Q115)+MAX(0,Q129)+MAX(0,Q144)+MAX(0,Q158)+MAX(0,Q173)+MAX(0,Q191)+MAX(0,Q207)+MAX(0,Q221)+MAX(0,Q236)+MAX(0,Q254)+MAX(0,Q270)+MAX(0,Q286)+MAX(0,Q300)+MAX(0,Q317)+MAX(0,Q330)+MAX(0,Q345)+MAX(0,Q360)+MAX(0,Q373)+MAX(0,Q386)+MAX(0,Q399)+MAX(0,Q416)+MAX(0,Q431)+MAX(0,Q444)+MAX(0,Q459)+MAX(0,Q474)+MAX(0,Q487)+MAX(0,Q500)+MAX(0,Q515)+MAX(0,Q532)+MAX(0,Q544)+MAX(0,Q555)+MAX(0,Q566)</f>
        <v>639335.282618894</v>
      </c>
      <c r="R604" s="71" t="n">
        <f aca="false">MAX(0,R53)+MAX(0,R70)+MAX(0,R84)+MAX(0,R99)+MAX(0,R115)+MAX(0,R129)+MAX(0,R144)+MAX(0,R158)+MAX(0,R173)+MAX(0,R191)+MAX(0,R207)+MAX(0,R221)+MAX(0,R236)+MAX(0,R254)+MAX(0,R270)+MAX(0,R286)+MAX(0,R300)+MAX(0,R317)+MAX(0,R330)+MAX(0,R345)+MAX(0,R360)+MAX(0,R373)+MAX(0,R386)+MAX(0,R399)+MAX(0,R416)+MAX(0,R431)+MAX(0,R444)+MAX(0,R459)+MAX(0,R474)+MAX(0,R487)+MAX(0,R500)+MAX(0,R515)+MAX(0,R532)+MAX(0,R544)+MAX(0,R555)+MAX(0,R566)</f>
        <v>637718.365646613</v>
      </c>
      <c r="S604" s="71" t="n">
        <f aca="false">MAX(0,S53)+MAX(0,S70)+MAX(0,S84)+MAX(0,S99)+MAX(0,S115)+MAX(0,S129)+MAX(0,S144)+MAX(0,S158)+MAX(0,S173)+MAX(0,S191)+MAX(0,S207)+MAX(0,S221)+MAX(0,S236)+MAX(0,S254)+MAX(0,S270)+MAX(0,S286)+MAX(0,S300)+MAX(0,S317)+MAX(0,S330)+MAX(0,S345)+MAX(0,S360)+MAX(0,S373)+MAX(0,S386)+MAX(0,S399)+MAX(0,S416)+MAX(0,S431)+MAX(0,S444)+MAX(0,S459)+MAX(0,S474)+MAX(0,S487)+MAX(0,S500)+MAX(0,S515)+MAX(0,S532)+MAX(0,S544)+MAX(0,S555)+MAX(0,S566)</f>
        <v>654730.791290094</v>
      </c>
      <c r="T604" s="71" t="n">
        <f aca="false">MAX(0,T53)+MAX(0,T70)+MAX(0,T84)+MAX(0,T99)+MAX(0,T115)+MAX(0,T129)+MAX(0,T144)+MAX(0,T158)+MAX(0,T173)+MAX(0,T191)+MAX(0,T207)+MAX(0,T221)+MAX(0,T236)+MAX(0,T254)+MAX(0,T270)+MAX(0,T286)+MAX(0,T300)+MAX(0,T317)+MAX(0,T330)+MAX(0,T345)+MAX(0,T360)+MAX(0,T373)+MAX(0,T386)+MAX(0,T399)+MAX(0,T416)+MAX(0,T431)+MAX(0,T444)+MAX(0,T459)+MAX(0,T474)+MAX(0,T487)+MAX(0,T500)+MAX(0,T515)+MAX(0,T532)+MAX(0,T544)+MAX(0,T555)+MAX(0,T566)</f>
        <v>679249.80518922</v>
      </c>
      <c r="U604" s="71" t="n">
        <f aca="false">MAX(0,U53)+MAX(0,U70)+MAX(0,U84)+MAX(0,U99)+MAX(0,U115)+MAX(0,U129)+MAX(0,U144)+MAX(0,U158)+MAX(0,U173)+MAX(0,U191)+MAX(0,U207)+MAX(0,U221)+MAX(0,U236)+MAX(0,U254)+MAX(0,U270)+MAX(0,U286)+MAX(0,U300)+MAX(0,U317)+MAX(0,U330)+MAX(0,U345)+MAX(0,U360)+MAX(0,U373)+MAX(0,U386)+MAX(0,U399)+MAX(0,U416)+MAX(0,U431)+MAX(0,U444)+MAX(0,U459)+MAX(0,U474)+MAX(0,U487)+MAX(0,U500)+MAX(0,U515)+MAX(0,U532)+MAX(0,U544)+MAX(0,U555)+MAX(0,U566)</f>
        <v>490281.628451821</v>
      </c>
      <c r="V604" s="71" t="n">
        <f aca="false">MAX(0,V53)+MAX(0,V70)+MAX(0,V84)+MAX(0,V99)+MAX(0,V115)+MAX(0,V129)+MAX(0,V144)+MAX(0,V158)+MAX(0,V173)+MAX(0,V191)+MAX(0,V207)+MAX(0,V221)+MAX(0,V236)+MAX(0,V254)+MAX(0,V270)+MAX(0,V286)+MAX(0,V300)+MAX(0,V317)+MAX(0,V330)+MAX(0,V345)+MAX(0,V360)+MAX(0,V373)+MAX(0,V386)+MAX(0,V399)+MAX(0,V416)+MAX(0,V431)+MAX(0,V444)+MAX(0,V459)+MAX(0,V474)+MAX(0,V487)+MAX(0,V500)+MAX(0,V515)+MAX(0,V532)+MAX(0,V544)+MAX(0,V555)+MAX(0,V566)</f>
        <v>668856.357557407</v>
      </c>
      <c r="W604" s="71" t="n">
        <f aca="false">MAX(0,W53)+MAX(0,W70)+MAX(0,W84)+MAX(0,W99)+MAX(0,W115)+MAX(0,W129)+MAX(0,W144)+MAX(0,W158)+MAX(0,W173)+MAX(0,W191)+MAX(0,W207)+MAX(0,W221)+MAX(0,W236)+MAX(0,W254)+MAX(0,W270)+MAX(0,W286)+MAX(0,W300)+MAX(0,W317)+MAX(0,W330)+MAX(0,W345)+MAX(0,W360)+MAX(0,W373)+MAX(0,W386)+MAX(0,W399)+MAX(0,W416)+MAX(0,W431)+MAX(0,W444)+MAX(0,W459)+MAX(0,W474)+MAX(0,W487)+MAX(0,W500)+MAX(0,W515)+MAX(0,W532)+MAX(0,W544)+MAX(0,W555)+MAX(0,W566)</f>
        <v>631979.139947312</v>
      </c>
      <c r="X604" s="71" t="n">
        <f aca="false">MAX(0,X53)+MAX(0,X70)+MAX(0,X84)+MAX(0,X99)+MAX(0,X115)+MAX(0,X129)+MAX(0,X144)+MAX(0,X158)+MAX(0,X173)+MAX(0,X191)+MAX(0,X207)+MAX(0,X221)+MAX(0,X236)+MAX(0,X254)+MAX(0,X270)+MAX(0,X286)+MAX(0,X300)+MAX(0,X317)+MAX(0,X330)+MAX(0,X345)+MAX(0,X360)+MAX(0,X373)+MAX(0,X386)+MAX(0,X399)+MAX(0,X416)+MAX(0,X431)+MAX(0,X444)+MAX(0,X459)+MAX(0,X474)+MAX(0,X487)+MAX(0,X500)+MAX(0,X515)+MAX(0,X532)+MAX(0,X544)+MAX(0,X555)+MAX(0,X566)</f>
        <v>550116.330798151</v>
      </c>
      <c r="Y604" s="71" t="n">
        <f aca="false">MAX(0,Y53)+MAX(0,Y70)+MAX(0,Y84)+MAX(0,Y99)+MAX(0,Y115)+MAX(0,Y129)+MAX(0,Y144)+MAX(0,Y158)+MAX(0,Y173)+MAX(0,Y191)+MAX(0,Y207)+MAX(0,Y221)+MAX(0,Y236)+MAX(0,Y254)+MAX(0,Y270)+MAX(0,Y286)+MAX(0,Y300)+MAX(0,Y317)+MAX(0,Y330)+MAX(0,Y345)+MAX(0,Y360)+MAX(0,Y373)+MAX(0,Y386)+MAX(0,Y399)+MAX(0,Y416)+MAX(0,Y431)+MAX(0,Y444)+MAX(0,Y459)+MAX(0,Y474)+MAX(0,Y487)+MAX(0,Y500)+MAX(0,Y515)+MAX(0,Y532)+MAX(0,Y544)+MAX(0,Y555)+MAX(0,Y566)</f>
        <v>678763.44963653</v>
      </c>
      <c r="Z604" s="71" t="n">
        <f aca="false">MAX(0,Z53)+MAX(0,Z70)+MAX(0,Z84)+MAX(0,Z99)+MAX(0,Z115)+MAX(0,Z129)+MAX(0,Z144)+MAX(0,Z158)+MAX(0,Z173)+MAX(0,Z191)+MAX(0,Z207)+MAX(0,Z221)+MAX(0,Z236)+MAX(0,Z254)+MAX(0,Z270)+MAX(0,Z286)+MAX(0,Z300)+MAX(0,Z317)+MAX(0,Z330)+MAX(0,Z345)+MAX(0,Z360)+MAX(0,Z373)+MAX(0,Z386)+MAX(0,Z399)+MAX(0,Z416)+MAX(0,Z431)+MAX(0,Z444)+MAX(0,Z459)+MAX(0,Z474)+MAX(0,Z487)+MAX(0,Z500)+MAX(0,Z515)+MAX(0,Z532)+MAX(0,Z544)+MAX(0,Z555)+MAX(0,Z566)</f>
        <v>637835.323625286</v>
      </c>
      <c r="AA604" s="71" t="n">
        <f aca="false">MAX(0,AA53)+MAX(0,AA70)+MAX(0,AA84)+MAX(0,AA99)+MAX(0,AA115)+MAX(0,AA129)+MAX(0,AA144)+MAX(0,AA158)+MAX(0,AA173)+MAX(0,AA191)+MAX(0,AA207)+MAX(0,AA221)+MAX(0,AA236)+MAX(0,AA254)+MAX(0,AA270)+MAX(0,AA286)+MAX(0,AA300)+MAX(0,AA317)+MAX(0,AA330)+MAX(0,AA345)+MAX(0,AA360)+MAX(0,AA373)+MAX(0,AA386)+MAX(0,AA399)+MAX(0,AA416)+MAX(0,AA431)+MAX(0,AA444)+MAX(0,AA459)+MAX(0,AA474)+MAX(0,AA487)+MAX(0,AA500)+MAX(0,AA515)+MAX(0,AA532)+MAX(0,AA544)+MAX(0,AA555)+MAX(0,AA566)</f>
        <v>671458.270286347</v>
      </c>
      <c r="AB604" s="71" t="n">
        <f aca="false">MAX(0,AB53)+MAX(0,AB70)+MAX(0,AB84)+MAX(0,AB99)+MAX(0,AB115)+MAX(0,AB129)+MAX(0,AB144)+MAX(0,AB158)+MAX(0,AB173)+MAX(0,AB191)+MAX(0,AB207)+MAX(0,AB221)+MAX(0,AB236)+MAX(0,AB254)+MAX(0,AB270)+MAX(0,AB286)+MAX(0,AB300)+MAX(0,AB317)+MAX(0,AB330)+MAX(0,AB345)+MAX(0,AB360)+MAX(0,AB373)+MAX(0,AB386)+MAX(0,AB399)+MAX(0,AB416)+MAX(0,AB431)+MAX(0,AB444)+MAX(0,AB459)+MAX(0,AB474)+MAX(0,AB487)+MAX(0,AB500)+MAX(0,AB515)+MAX(0,AB532)+MAX(0,AB544)+MAX(0,AB555)+MAX(0,AB566)</f>
        <v>726433.972420348</v>
      </c>
    </row>
    <row r="605" customFormat="false" ht="15" hidden="false" customHeight="false" outlineLevel="0" collapsed="false">
      <c r="A605" s="29" t="s">
        <v>940</v>
      </c>
      <c r="B605" s="60" t="s">
        <v>939</v>
      </c>
      <c r="C605" s="61" t="n">
        <f aca="false">P605</f>
        <v>3002.17706821496</v>
      </c>
      <c r="D605" s="61" t="n">
        <f aca="false">AB605</f>
        <v>1.56433088704944E-010</v>
      </c>
      <c r="E605" s="71" t="n">
        <f aca="false">MAX(0,-E53)+MAX(0,-E70)+MAX(0,-E84)+MAX(0,-E99)+MAX(0,-E115)+MAX(0,-E129)+MAX(0,-E144)+MAX(0,-E158)+MAX(0,-E173)+MAX(0,-E191)+MAX(0,-E207)+MAX(0,-E221)+MAX(0,-E236)+MAX(0,-E254)+MAX(0,-E270)+MAX(0,-E286)+MAX(0,-E300)+MAX(0,-E317)+MAX(0,-E330)+MAX(0,-E345)+MAX(0,-E360)+MAX(0,-E373)+MAX(0,-E386)+MAX(0,-E399)+MAX(0,-E416)+MAX(0,-E431)+MAX(0,-E444)+MAX(0,-E459)+MAX(0,-E474)+MAX(0,-E487)+MAX(0,-E500)+MAX(0,-E515)+MAX(0,-E532)+MAX(0,-E544)+MAX(0,-E555)+MAX(0,-E566)</f>
        <v>44115.87</v>
      </c>
      <c r="F605" s="71" t="n">
        <f aca="false">MAX(0,-F53)+MAX(0,-F70)+MAX(0,-F84)+MAX(0,-F99)+MAX(0,-F115)+MAX(0,-F129)+MAX(0,-F144)+MAX(0,-F158)+MAX(0,-F173)+MAX(0,-F191)+MAX(0,-F207)+MAX(0,-F221)+MAX(0,-F236)+MAX(0,-F254)+MAX(0,-F270)+MAX(0,-F286)+MAX(0,-F300)+MAX(0,-F317)+MAX(0,-F330)+MAX(0,-F345)+MAX(0,-F360)+MAX(0,-F373)+MAX(0,-F386)+MAX(0,-F399)+MAX(0,-F416)+MAX(0,-F431)+MAX(0,-F444)+MAX(0,-F459)+MAX(0,-F474)+MAX(0,-F487)+MAX(0,-F500)+MAX(0,-F515)+MAX(0,-F532)+MAX(0,-F544)+MAX(0,-F555)+MAX(0,-F566)</f>
        <v>35015.54</v>
      </c>
      <c r="G605" s="71" t="n">
        <f aca="false">MAX(0,-G53)+MAX(0,-G70)+MAX(0,-G84)+MAX(0,-G99)+MAX(0,-G115)+MAX(0,-G129)+MAX(0,-G144)+MAX(0,-G158)+MAX(0,-G173)+MAX(0,-G191)+MAX(0,-G207)+MAX(0,-G221)+MAX(0,-G236)+MAX(0,-G254)+MAX(0,-G270)+MAX(0,-G286)+MAX(0,-G300)+MAX(0,-G317)+MAX(0,-G330)+MAX(0,-G345)+MAX(0,-G360)+MAX(0,-G373)+MAX(0,-G386)+MAX(0,-G399)+MAX(0,-G416)+MAX(0,-G431)+MAX(0,-G444)+MAX(0,-G459)+MAX(0,-G474)+MAX(0,-G487)+MAX(0,-G500)+MAX(0,-G515)+MAX(0,-G532)+MAX(0,-G544)+MAX(0,-G555)+MAX(0,-G566)</f>
        <v>23217.76</v>
      </c>
      <c r="H605" s="71" t="n">
        <f aca="false">MAX(0,-H53)+MAX(0,-H70)+MAX(0,-H84)+MAX(0,-H99)+MAX(0,-H115)+MAX(0,-H129)+MAX(0,-H144)+MAX(0,-H158)+MAX(0,-H173)+MAX(0,-H191)+MAX(0,-H207)+MAX(0,-H221)+MAX(0,-H236)+MAX(0,-H254)+MAX(0,-H270)+MAX(0,-H286)+MAX(0,-H300)+MAX(0,-H317)+MAX(0,-H330)+MAX(0,-H345)+MAX(0,-H360)+MAX(0,-H373)+MAX(0,-H386)+MAX(0,-H399)+MAX(0,-H416)+MAX(0,-H431)+MAX(0,-H444)+MAX(0,-H459)+MAX(0,-H474)+MAX(0,-H487)+MAX(0,-H500)+MAX(0,-H515)+MAX(0,-H532)+MAX(0,-H544)+MAX(0,-H555)+MAX(0,-H566)</f>
        <v>36015.43</v>
      </c>
      <c r="I605" s="71" t="n">
        <f aca="false">MAX(0,-I53)+MAX(0,-I70)+MAX(0,-I84)+MAX(0,-I99)+MAX(0,-I115)+MAX(0,-I129)+MAX(0,-I144)+MAX(0,-I158)+MAX(0,-I173)+MAX(0,-I191)+MAX(0,-I207)+MAX(0,-I221)+MAX(0,-I236)+MAX(0,-I254)+MAX(0,-I270)+MAX(0,-I286)+MAX(0,-I300)+MAX(0,-I317)+MAX(0,-I330)+MAX(0,-I345)+MAX(0,-I360)+MAX(0,-I373)+MAX(0,-I386)+MAX(0,-I399)+MAX(0,-I416)+MAX(0,-I431)+MAX(0,-I444)+MAX(0,-I459)+MAX(0,-I474)+MAX(0,-I487)+MAX(0,-I500)+MAX(0,-I515)+MAX(0,-I532)+MAX(0,-I544)+MAX(0,-I555)+MAX(0,-I566)</f>
        <v>11299.39</v>
      </c>
      <c r="J605" s="71" t="n">
        <f aca="false">MAX(0,-J53)+MAX(0,-J70)+MAX(0,-J84)+MAX(0,-J99)+MAX(0,-J115)+MAX(0,-J129)+MAX(0,-J144)+MAX(0,-J158)+MAX(0,-J173)+MAX(0,-J191)+MAX(0,-J207)+MAX(0,-J221)+MAX(0,-J236)+MAX(0,-J254)+MAX(0,-J270)+MAX(0,-J286)+MAX(0,-J300)+MAX(0,-J317)+MAX(0,-J330)+MAX(0,-J345)+MAX(0,-J360)+MAX(0,-J373)+MAX(0,-J386)+MAX(0,-J399)+MAX(0,-J416)+MAX(0,-J431)+MAX(0,-J444)+MAX(0,-J459)+MAX(0,-J474)+MAX(0,-J487)+MAX(0,-J500)+MAX(0,-J515)+MAX(0,-J532)+MAX(0,-J544)+MAX(0,-J555)+MAX(0,-J566)</f>
        <v>38346.58</v>
      </c>
      <c r="K605" s="71" t="n">
        <f aca="false">MAX(0,-K53)+MAX(0,-K70)+MAX(0,-K84)+MAX(0,-K99)+MAX(0,-K115)+MAX(0,-K129)+MAX(0,-K144)+MAX(0,-K158)+MAX(0,-K173)+MAX(0,-K191)+MAX(0,-K207)+MAX(0,-K221)+MAX(0,-K236)+MAX(0,-K254)+MAX(0,-K270)+MAX(0,-K286)+MAX(0,-K300)+MAX(0,-K317)+MAX(0,-K330)+MAX(0,-K345)+MAX(0,-K360)+MAX(0,-K373)+MAX(0,-K386)+MAX(0,-K399)+MAX(0,-K416)+MAX(0,-K431)+MAX(0,-K444)+MAX(0,-K459)+MAX(0,-K474)+MAX(0,-K487)+MAX(0,-K500)+MAX(0,-K515)+MAX(0,-K532)+MAX(0,-K544)+MAX(0,-K555)+MAX(0,-K566)</f>
        <v>15745.86</v>
      </c>
      <c r="L605" s="71" t="n">
        <f aca="false">MAX(0,-L53)+MAX(0,-L70)+MAX(0,-L84)+MAX(0,-L99)+MAX(0,-L115)+MAX(0,-L129)+MAX(0,-L144)+MAX(0,-L158)+MAX(0,-L173)+MAX(0,-L191)+MAX(0,-L207)+MAX(0,-L221)+MAX(0,-L236)+MAX(0,-L254)+MAX(0,-L270)+MAX(0,-L286)+MAX(0,-L300)+MAX(0,-L317)+MAX(0,-L330)+MAX(0,-L345)+MAX(0,-L360)+MAX(0,-L373)+MAX(0,-L386)+MAX(0,-L399)+MAX(0,-L416)+MAX(0,-L431)+MAX(0,-L444)+MAX(0,-L459)+MAX(0,-L474)+MAX(0,-L487)+MAX(0,-L500)+MAX(0,-L515)+MAX(0,-L532)+MAX(0,-L544)+MAX(0,-L555)+MAX(0,-L566)</f>
        <v>39044.51</v>
      </c>
      <c r="M605" s="71" t="n">
        <f aca="false">MAX(0,-M53)+MAX(0,-M70)+MAX(0,-M84)+MAX(0,-M99)+MAX(0,-M115)+MAX(0,-M129)+MAX(0,-M144)+MAX(0,-M158)+MAX(0,-M173)+MAX(0,-M191)+MAX(0,-M207)+MAX(0,-M221)+MAX(0,-M236)+MAX(0,-M254)+MAX(0,-M270)+MAX(0,-M286)+MAX(0,-M300)+MAX(0,-M317)+MAX(0,-M330)+MAX(0,-M345)+MAX(0,-M360)+MAX(0,-M373)+MAX(0,-M386)+MAX(0,-M399)+MAX(0,-M416)+MAX(0,-M431)+MAX(0,-M444)+MAX(0,-M459)+MAX(0,-M474)+MAX(0,-M487)+MAX(0,-M500)+MAX(0,-M515)+MAX(0,-M532)+MAX(0,-M544)+MAX(0,-M555)+MAX(0,-M566)</f>
        <v>13581.2155390494</v>
      </c>
      <c r="N605" s="71" t="n">
        <f aca="false">MAX(0,-N53)+MAX(0,-N70)+MAX(0,-N84)+MAX(0,-N99)+MAX(0,-N115)+MAX(0,-N129)+MAX(0,-N144)+MAX(0,-N158)+MAX(0,-N173)+MAX(0,-N191)+MAX(0,-N207)+MAX(0,-N221)+MAX(0,-N236)+MAX(0,-N254)+MAX(0,-N270)+MAX(0,-N286)+MAX(0,-N300)+MAX(0,-N317)+MAX(0,-N330)+MAX(0,-N345)+MAX(0,-N360)+MAX(0,-N373)+MAX(0,-N386)+MAX(0,-N399)+MAX(0,-N416)+MAX(0,-N431)+MAX(0,-N444)+MAX(0,-N459)+MAX(0,-N474)+MAX(0,-N487)+MAX(0,-N500)+MAX(0,-N515)+MAX(0,-N532)+MAX(0,-N544)+MAX(0,-N555)+MAX(0,-N566)</f>
        <v>5870.96774193564</v>
      </c>
      <c r="O605" s="71" t="n">
        <f aca="false">MAX(0,-O53)+MAX(0,-O70)+MAX(0,-O84)+MAX(0,-O99)+MAX(0,-O115)+MAX(0,-O129)+MAX(0,-O144)+MAX(0,-O158)+MAX(0,-O173)+MAX(0,-O191)+MAX(0,-O207)+MAX(0,-O221)+MAX(0,-O236)+MAX(0,-O254)+MAX(0,-O270)+MAX(0,-O286)+MAX(0,-O300)+MAX(0,-O317)+MAX(0,-O330)+MAX(0,-O345)+MAX(0,-O360)+MAX(0,-O373)+MAX(0,-O386)+MAX(0,-O399)+MAX(0,-O416)+MAX(0,-O431)+MAX(0,-O444)+MAX(0,-O459)+MAX(0,-O474)+MAX(0,-O487)+MAX(0,-O500)+MAX(0,-O515)+MAX(0,-O532)+MAX(0,-O544)+MAX(0,-O555)+MAX(0,-O566)</f>
        <v>4578.66184448478</v>
      </c>
      <c r="P605" s="71" t="n">
        <f aca="false">MAX(0,-P53)+MAX(0,-P70)+MAX(0,-P84)+MAX(0,-P99)+MAX(0,-P115)+MAX(0,-P129)+MAX(0,-P144)+MAX(0,-P158)+MAX(0,-P173)+MAX(0,-P191)+MAX(0,-P207)+MAX(0,-P221)+MAX(0,-P236)+MAX(0,-P254)+MAX(0,-P270)+MAX(0,-P286)+MAX(0,-P300)+MAX(0,-P317)+MAX(0,-P330)+MAX(0,-P345)+MAX(0,-P360)+MAX(0,-P373)+MAX(0,-P386)+MAX(0,-P399)+MAX(0,-P416)+MAX(0,-P431)+MAX(0,-P444)+MAX(0,-P459)+MAX(0,-P474)+MAX(0,-P487)+MAX(0,-P500)+MAX(0,-P515)+MAX(0,-P532)+MAX(0,-P544)+MAX(0,-P555)+MAX(0,-P566)</f>
        <v>3002.17706821496</v>
      </c>
      <c r="Q605" s="71" t="n">
        <f aca="false">MAX(0,-Q53)+MAX(0,-Q70)+MAX(0,-Q84)+MAX(0,-Q99)+MAX(0,-Q115)+MAX(0,-Q129)+MAX(0,-Q144)+MAX(0,-Q158)+MAX(0,-Q173)+MAX(0,-Q191)+MAX(0,-Q207)+MAX(0,-Q221)+MAX(0,-Q236)+MAX(0,-Q254)+MAX(0,-Q270)+MAX(0,-Q286)+MAX(0,-Q300)+MAX(0,-Q317)+MAX(0,-Q330)+MAX(0,-Q345)+MAX(0,-Q360)+MAX(0,-Q373)+MAX(0,-Q386)+MAX(0,-Q399)+MAX(0,-Q416)+MAX(0,-Q431)+MAX(0,-Q444)+MAX(0,-Q459)+MAX(0,-Q474)+MAX(0,-Q487)+MAX(0,-Q500)+MAX(0,-Q515)+MAX(0,-Q532)+MAX(0,-Q544)+MAX(0,-Q555)+MAX(0,-Q566)</f>
        <v>13511.9234543672</v>
      </c>
      <c r="R605" s="71" t="n">
        <f aca="false">MAX(0,-R53)+MAX(0,-R70)+MAX(0,-R84)+MAX(0,-R99)+MAX(0,-R115)+MAX(0,-R129)+MAX(0,-R144)+MAX(0,-R158)+MAX(0,-R173)+MAX(0,-R191)+MAX(0,-R207)+MAX(0,-R221)+MAX(0,-R236)+MAX(0,-R254)+MAX(0,-R270)+MAX(0,-R286)+MAX(0,-R300)+MAX(0,-R317)+MAX(0,-R330)+MAX(0,-R345)+MAX(0,-R360)+MAX(0,-R373)+MAX(0,-R386)+MAX(0,-R399)+MAX(0,-R416)+MAX(0,-R431)+MAX(0,-R444)+MAX(0,-R459)+MAX(0,-R474)+MAX(0,-R487)+MAX(0,-R500)+MAX(0,-R515)+MAX(0,-R532)+MAX(0,-R544)+MAX(0,-R555)+MAX(0,-R566)</f>
        <v>19788.2614082182</v>
      </c>
      <c r="S605" s="71" t="n">
        <f aca="false">MAX(0,-S53)+MAX(0,-S70)+MAX(0,-S84)+MAX(0,-S99)+MAX(0,-S115)+MAX(0,-S129)+MAX(0,-S144)+MAX(0,-S158)+MAX(0,-S173)+MAX(0,-S191)+MAX(0,-S207)+MAX(0,-S221)+MAX(0,-S236)+MAX(0,-S254)+MAX(0,-S270)+MAX(0,-S286)+MAX(0,-S300)+MAX(0,-S317)+MAX(0,-S330)+MAX(0,-S345)+MAX(0,-S360)+MAX(0,-S373)+MAX(0,-S386)+MAX(0,-S399)+MAX(0,-S416)+MAX(0,-S431)+MAX(0,-S444)+MAX(0,-S459)+MAX(0,-S474)+MAX(0,-S487)+MAX(0,-S500)+MAX(0,-S515)+MAX(0,-S532)+MAX(0,-S544)+MAX(0,-S555)+MAX(0,-S566)</f>
        <v>1.56433088704944E-010</v>
      </c>
      <c r="T605" s="71" t="n">
        <f aca="false">MAX(0,-T53)+MAX(0,-T70)+MAX(0,-T84)+MAX(0,-T99)+MAX(0,-T115)+MAX(0,-T129)+MAX(0,-T144)+MAX(0,-T158)+MAX(0,-T173)+MAX(0,-T191)+MAX(0,-T207)+MAX(0,-T221)+MAX(0,-T236)+MAX(0,-T254)+MAX(0,-T270)+MAX(0,-T286)+MAX(0,-T300)+MAX(0,-T317)+MAX(0,-T330)+MAX(0,-T345)+MAX(0,-T360)+MAX(0,-T373)+MAX(0,-T386)+MAX(0,-T399)+MAX(0,-T416)+MAX(0,-T431)+MAX(0,-T444)+MAX(0,-T459)+MAX(0,-T474)+MAX(0,-T487)+MAX(0,-T500)+MAX(0,-T515)+MAX(0,-T532)+MAX(0,-T544)+MAX(0,-T555)+MAX(0,-T566)</f>
        <v>2439.00883218858</v>
      </c>
      <c r="U605" s="71" t="n">
        <f aca="false">MAX(0,-U53)+MAX(0,-U70)+MAX(0,-U84)+MAX(0,-U99)+MAX(0,-U115)+MAX(0,-U129)+MAX(0,-U144)+MAX(0,-U158)+MAX(0,-U173)+MAX(0,-U191)+MAX(0,-U207)+MAX(0,-U221)+MAX(0,-U236)+MAX(0,-U254)+MAX(0,-U270)+MAX(0,-U286)+MAX(0,-U300)+MAX(0,-U317)+MAX(0,-U330)+MAX(0,-U345)+MAX(0,-U360)+MAX(0,-U373)+MAX(0,-U386)+MAX(0,-U399)+MAX(0,-U416)+MAX(0,-U431)+MAX(0,-U444)+MAX(0,-U459)+MAX(0,-U474)+MAX(0,-U487)+MAX(0,-U500)+MAX(0,-U515)+MAX(0,-U532)+MAX(0,-U544)+MAX(0,-U555)+MAX(0,-U566)</f>
        <v>7037.93103448293</v>
      </c>
      <c r="V605" s="71" t="n">
        <f aca="false">MAX(0,-V53)+MAX(0,-V70)+MAX(0,-V84)+MAX(0,-V99)+MAX(0,-V115)+MAX(0,-V129)+MAX(0,-V144)+MAX(0,-V158)+MAX(0,-V173)+MAX(0,-V191)+MAX(0,-V207)+MAX(0,-V221)+MAX(0,-V236)+MAX(0,-V254)+MAX(0,-V270)+MAX(0,-V286)+MAX(0,-V300)+MAX(0,-V317)+MAX(0,-V330)+MAX(0,-V345)+MAX(0,-V360)+MAX(0,-V373)+MAX(0,-V386)+MAX(0,-V399)+MAX(0,-V416)+MAX(0,-V431)+MAX(0,-V444)+MAX(0,-V459)+MAX(0,-V474)+MAX(0,-V487)+MAX(0,-V500)+MAX(0,-V515)+MAX(0,-V532)+MAX(0,-V544)+MAX(0,-V555)+MAX(0,-V566)</f>
        <v>1.56433088704944E-010</v>
      </c>
      <c r="W605" s="71" t="n">
        <f aca="false">MAX(0,-W53)+MAX(0,-W70)+MAX(0,-W84)+MAX(0,-W99)+MAX(0,-W115)+MAX(0,-W129)+MAX(0,-W144)+MAX(0,-W158)+MAX(0,-W173)+MAX(0,-W191)+MAX(0,-W207)+MAX(0,-W221)+MAX(0,-W236)+MAX(0,-W254)+MAX(0,-W270)+MAX(0,-W286)+MAX(0,-W300)+MAX(0,-W317)+MAX(0,-W330)+MAX(0,-W345)+MAX(0,-W360)+MAX(0,-W373)+MAX(0,-W386)+MAX(0,-W399)+MAX(0,-W416)+MAX(0,-W431)+MAX(0,-W444)+MAX(0,-W459)+MAX(0,-W474)+MAX(0,-W487)+MAX(0,-W500)+MAX(0,-W515)+MAX(0,-W532)+MAX(0,-W544)+MAX(0,-W555)+MAX(0,-W566)</f>
        <v>1.56433088704944E-010</v>
      </c>
      <c r="X605" s="71" t="n">
        <f aca="false">MAX(0,-X53)+MAX(0,-X70)+MAX(0,-X84)+MAX(0,-X99)+MAX(0,-X115)+MAX(0,-X129)+MAX(0,-X144)+MAX(0,-X158)+MAX(0,-X173)+MAX(0,-X191)+MAX(0,-X207)+MAX(0,-X221)+MAX(0,-X236)+MAX(0,-X254)+MAX(0,-X270)+MAX(0,-X286)+MAX(0,-X300)+MAX(0,-X317)+MAX(0,-X330)+MAX(0,-X345)+MAX(0,-X360)+MAX(0,-X373)+MAX(0,-X386)+MAX(0,-X399)+MAX(0,-X416)+MAX(0,-X431)+MAX(0,-X444)+MAX(0,-X459)+MAX(0,-X474)+MAX(0,-X487)+MAX(0,-X500)+MAX(0,-X515)+MAX(0,-X532)+MAX(0,-X544)+MAX(0,-X555)+MAX(0,-X566)</f>
        <v>1.56433088704944E-010</v>
      </c>
      <c r="Y605" s="71" t="n">
        <f aca="false">MAX(0,-Y53)+MAX(0,-Y70)+MAX(0,-Y84)+MAX(0,-Y99)+MAX(0,-Y115)+MAX(0,-Y129)+MAX(0,-Y144)+MAX(0,-Y158)+MAX(0,-Y173)+MAX(0,-Y191)+MAX(0,-Y207)+MAX(0,-Y221)+MAX(0,-Y236)+MAX(0,-Y254)+MAX(0,-Y270)+MAX(0,-Y286)+MAX(0,-Y300)+MAX(0,-Y317)+MAX(0,-Y330)+MAX(0,-Y345)+MAX(0,-Y360)+MAX(0,-Y373)+MAX(0,-Y386)+MAX(0,-Y399)+MAX(0,-Y416)+MAX(0,-Y431)+MAX(0,-Y444)+MAX(0,-Y459)+MAX(0,-Y474)+MAX(0,-Y487)+MAX(0,-Y500)+MAX(0,-Y515)+MAX(0,-Y532)+MAX(0,-Y544)+MAX(0,-Y555)+MAX(0,-Y566)</f>
        <v>1.56433088704944E-010</v>
      </c>
      <c r="Z605" s="71" t="n">
        <f aca="false">MAX(0,-Z53)+MAX(0,-Z70)+MAX(0,-Z84)+MAX(0,-Z99)+MAX(0,-Z115)+MAX(0,-Z129)+MAX(0,-Z144)+MAX(0,-Z158)+MAX(0,-Z173)+MAX(0,-Z191)+MAX(0,-Z207)+MAX(0,-Z221)+MAX(0,-Z236)+MAX(0,-Z254)+MAX(0,-Z270)+MAX(0,-Z286)+MAX(0,-Z300)+MAX(0,-Z317)+MAX(0,-Z330)+MAX(0,-Z345)+MAX(0,-Z360)+MAX(0,-Z373)+MAX(0,-Z386)+MAX(0,-Z399)+MAX(0,-Z416)+MAX(0,-Z431)+MAX(0,-Z444)+MAX(0,-Z459)+MAX(0,-Z474)+MAX(0,-Z487)+MAX(0,-Z500)+MAX(0,-Z515)+MAX(0,-Z532)+MAX(0,-Z544)+MAX(0,-Z555)+MAX(0,-Z566)</f>
        <v>1.56433088704944E-010</v>
      </c>
      <c r="AA605" s="71" t="n">
        <f aca="false">MAX(0,-AA53)+MAX(0,-AA70)+MAX(0,-AA84)+MAX(0,-AA99)+MAX(0,-AA115)+MAX(0,-AA129)+MAX(0,-AA144)+MAX(0,-AA158)+MAX(0,-AA173)+MAX(0,-AA191)+MAX(0,-AA207)+MAX(0,-AA221)+MAX(0,-AA236)+MAX(0,-AA254)+MAX(0,-AA270)+MAX(0,-AA286)+MAX(0,-AA300)+MAX(0,-AA317)+MAX(0,-AA330)+MAX(0,-AA345)+MAX(0,-AA360)+MAX(0,-AA373)+MAX(0,-AA386)+MAX(0,-AA399)+MAX(0,-AA416)+MAX(0,-AA431)+MAX(0,-AA444)+MAX(0,-AA459)+MAX(0,-AA474)+MAX(0,-AA487)+MAX(0,-AA500)+MAX(0,-AA515)+MAX(0,-AA532)+MAX(0,-AA544)+MAX(0,-AA555)+MAX(0,-AA566)</f>
        <v>1.56433088704944E-010</v>
      </c>
      <c r="AB605" s="71" t="n">
        <f aca="false">MAX(0,-AB53)+MAX(0,-AB70)+MAX(0,-AB84)+MAX(0,-AB99)+MAX(0,-AB115)+MAX(0,-AB129)+MAX(0,-AB144)+MAX(0,-AB158)+MAX(0,-AB173)+MAX(0,-AB191)+MAX(0,-AB207)+MAX(0,-AB221)+MAX(0,-AB236)+MAX(0,-AB254)+MAX(0,-AB270)+MAX(0,-AB286)+MAX(0,-AB300)+MAX(0,-AB317)+MAX(0,-AB330)+MAX(0,-AB345)+MAX(0,-AB360)+MAX(0,-AB373)+MAX(0,-AB386)+MAX(0,-AB399)+MAX(0,-AB416)+MAX(0,-AB431)+MAX(0,-AB444)+MAX(0,-AB459)+MAX(0,-AB474)+MAX(0,-AB487)+MAX(0,-AB500)+MAX(0,-AB515)+MAX(0,-AB532)+MAX(0,-AB544)+MAX(0,-AB555)+MAX(0,-AB566)</f>
        <v>1.56433088704944E-010</v>
      </c>
    </row>
    <row r="606" customFormat="false" ht="15" hidden="false" customHeight="false" outlineLevel="0" collapsed="false">
      <c r="A606" s="29" t="s">
        <v>941</v>
      </c>
      <c r="B606" s="60"/>
      <c r="C606" s="61" t="n">
        <f aca="false">SUM(E606:P606)</f>
        <v>6993056.00586503</v>
      </c>
      <c r="D606" s="61" t="n">
        <f aca="false">SUM(Q606:AB606)</f>
        <v>1040355.41820167</v>
      </c>
      <c r="E606" s="71" t="n">
        <f aca="false">E47+E64+E78+E94+E110+E123+E139+E152+E168+E185+E202+E215+E231+E248+E265+E281+E294+E311+E324+E340+E355+E367+E380</f>
        <v>457500.86</v>
      </c>
      <c r="F606" s="71" t="n">
        <f aca="false">F47+F64+F78+F94+F110+F123+F139+F152+F168+F185+F202+F215+F231+F248+F265+F281+F294+F311+F324+F340+F355+F367+F380</f>
        <v>496184.02</v>
      </c>
      <c r="G606" s="71" t="n">
        <f aca="false">G47+G64+G78+G94+G110+G123+G139+G152+G168+G185+G202+G215+G231+G248+G265+G281+G294+G311+G324+G340+G355+G367+G380</f>
        <v>626975.9</v>
      </c>
      <c r="H606" s="71" t="n">
        <f aca="false">H47+H64+H78+H94+H110+H123+H139+H152+H168+H185+H202+H215+H231+H248+H265+H281+H294+H311+H324+H340+H355+H367+H380</f>
        <v>540305.01</v>
      </c>
      <c r="I606" s="71" t="n">
        <f aca="false">I47+I64+I78+I94+I110+I123+I139+I152+I168+I185+I202+I215+I231+I248+I265+I281+I294+I311+I324+I340+I355+I367+I380</f>
        <v>558878.41</v>
      </c>
      <c r="J606" s="71" t="n">
        <f aca="false">J47+J64+J78+J94+J110+J123+J139+J152+J168+J185+J202+J215+J231+J248+J265+J281+J294+J311+J324+J340+J355+J367+J380</f>
        <v>701548.67</v>
      </c>
      <c r="K606" s="71" t="n">
        <f aca="false">K47+K64+K78+K94+K110+K123+K139+K152+K168+K185+K202+K215+K231+K248+K265+K281+K294+K311+K324+K340+K355+K367+K380</f>
        <v>590211.73</v>
      </c>
      <c r="L606" s="71" t="n">
        <f aca="false">L47+L64+L78+L94+L110+L123+L139+L152+L168+L185+L202+L215+L231+L248+L265+L281+L294+L311+L324+L340+L355+L367+L380</f>
        <v>483686.24</v>
      </c>
      <c r="M606" s="71" t="n">
        <f aca="false">M47+M64+M78+M94+M110+M123+M139+M152+M168+M185+M202+M215+M231+M248+M265+M281+M294+M311+M324+M340+M355+M367+M380</f>
        <v>734222.963251627</v>
      </c>
      <c r="N606" s="71" t="n">
        <f aca="false">N47+N64+N78+N94+N110+N123+N139+N152+N168+N185+N202+N215+N231+N248+N265+N281+N294+N311+N324+N340+N355+N367+N380</f>
        <v>670151.355442415</v>
      </c>
      <c r="O606" s="71" t="n">
        <f aca="false">O47+O64+O78+O94+O110+O123+O139+O152+O168+O185+O202+O215+O231+O248+O265+O281+O294+O311+O324+O340+O355+O367+O380</f>
        <v>574750.863170169</v>
      </c>
      <c r="P606" s="71" t="n">
        <f aca="false">P47+P64+P78+P94+P110+P123+P139+P152+P168+P185+P202+P215+P231+P248+P265+P281+P294+P311+P324+P340+P355+P367+P380</f>
        <v>558639.984000818</v>
      </c>
      <c r="Q606" s="71" t="n">
        <f aca="false">Q47+Q64+Q78+Q94+Q110+Q123+Q139+Q152+Q168+Q185+Q202+Q215+Q231+Q248+Q265+Q281+Q294+Q311+Q324+Q340+Q355+Q367+Q380</f>
        <v>376896.961496144</v>
      </c>
      <c r="R606" s="71" t="n">
        <f aca="false">R47+R64+R78+R94+R110+R123+R139+R152+R168+R185+R202+R215+R231+R248+R265+R281+R294+R311+R324+R340+R355+R367+R380</f>
        <v>356276.674572352</v>
      </c>
      <c r="S606" s="71" t="n">
        <f aca="false">S47+S64+S78+S94+S110+S123+S139+S152+S168+S185+S202+S215+S231+S248+S265+S281+S294+S311+S324+S340+S355+S367+S380</f>
        <v>264248.087080989</v>
      </c>
      <c r="T606" s="71" t="n">
        <f aca="false">T47+T64+T78+T94+T110+T123+T139+T152+T168+T185+T202+T215+T231+T248+T265+T281+T294+T311+T324+T340+T355+T367+T380</f>
        <v>42933.6950521818</v>
      </c>
      <c r="U606" s="71" t="n">
        <f aca="false">U47+U64+U78+U94+U110+U123+U139+U152+U168+U185+U202+U215+U231+U248+U265+U281+U294+U311+U324+U340+U355+U367+U380</f>
        <v>0</v>
      </c>
      <c r="V606" s="71" t="n">
        <f aca="false">V47+V64+V78+V94+V110+V123+V139+V152+V168+V185+V202+V215+V231+V248+V265+V281+V294+V311+V324+V340+V355+V367+V380</f>
        <v>0</v>
      </c>
      <c r="W606" s="71" t="n">
        <f aca="false">W47+W64+W78+W94+W110+W123+W139+W152+W168+W185+W202+W215+W231+W248+W265+W281+W294+W311+W324+W340+W355+W367+W380</f>
        <v>0</v>
      </c>
      <c r="X606" s="71" t="n">
        <f aca="false">X47+X64+X78+X94+X110+X123+X139+X152+X168+X185+X202+X215+X231+X248+X265+X281+X294+X311+X324+X340+X355+X367+X380</f>
        <v>0</v>
      </c>
      <c r="Y606" s="71" t="n">
        <f aca="false">Y47+Y64+Y78+Y94+Y110+Y123+Y139+Y152+Y168+Y185+Y202+Y215+Y231+Y248+Y265+Y281+Y294+Y311+Y324+Y340+Y355+Y367+Y380</f>
        <v>0</v>
      </c>
      <c r="Z606" s="71" t="n">
        <f aca="false">Z47+Z64+Z78+Z94+Z110+Z123+Z139+Z152+Z168+Z185+Z202+Z215+Z231+Z248+Z265+Z281+Z294+Z311+Z324+Z340+Z355+Z367+Z380</f>
        <v>0</v>
      </c>
      <c r="AA606" s="71" t="n">
        <f aca="false">AA47+AA64+AA78+AA94+AA110+AA123+AA139+AA152+AA168+AA185+AA202+AA215+AA231+AA248+AA265+AA281+AA294+AA311+AA324+AA340+AA355+AA367+AA380</f>
        <v>0</v>
      </c>
      <c r="AB606" s="71" t="n">
        <f aca="false">AB47+AB64+AB78+AB94+AB110+AB123+AB139+AB152+AB168+AB185+AB202+AB215+AB231+AB248+AB265+AB281+AB294+AB311+AB324+AB340+AB355+AB367+AB380</f>
        <v>0</v>
      </c>
    </row>
    <row r="607" customFormat="false" ht="15" hidden="false" customHeight="false" outlineLevel="0" collapsed="false">
      <c r="A607" s="29" t="s">
        <v>942</v>
      </c>
      <c r="B607" s="60"/>
      <c r="C607" s="61" t="n">
        <f aca="false">SUM(E607:P607)</f>
        <v>64563.9093731645</v>
      </c>
      <c r="D607" s="61" t="n">
        <f aca="false">SUM(Q607:AB607)</f>
        <v>2321673.34396918</v>
      </c>
      <c r="E607" s="71" t="n">
        <f aca="false">E393+E410+E426+E438+E454+E469+E481+E494+E510+E526</f>
        <v>0</v>
      </c>
      <c r="F607" s="71" t="n">
        <f aca="false">F393+F410+F426+F438+F454+F469+F481+F494+F510+F526</f>
        <v>0</v>
      </c>
      <c r="G607" s="71" t="n">
        <f aca="false">G393+G410+G426+G438+G454+G469+G481+G494+G510+G526</f>
        <v>0</v>
      </c>
      <c r="H607" s="71" t="n">
        <f aca="false">H393+H410+H426+H438+H454+H469+H481+H494+H510+H526</f>
        <v>0</v>
      </c>
      <c r="I607" s="71" t="n">
        <f aca="false">I393+I410+I426+I438+I454+I469+I481+I494+I510+I526</f>
        <v>0</v>
      </c>
      <c r="J607" s="71" t="n">
        <f aca="false">J393+J410+J426+J438+J454+J469+J481+J494+J510+J526</f>
        <v>0</v>
      </c>
      <c r="K607" s="71" t="n">
        <f aca="false">K393+K410+K426+K438+K454+K469+K481+K494+K510+K526</f>
        <v>0</v>
      </c>
      <c r="L607" s="71" t="n">
        <f aca="false">L393+L410+L426+L438+L454+L469+L481+L494+L510+L526</f>
        <v>0</v>
      </c>
      <c r="M607" s="71" t="n">
        <f aca="false">M393+M410+M426+M438+M454+M469+M481+M494+M510+M526</f>
        <v>0</v>
      </c>
      <c r="N607" s="71" t="n">
        <f aca="false">N393+N410+N426+N438+N454+N469+N481+N494+N510+N526</f>
        <v>0</v>
      </c>
      <c r="O607" s="71" t="n">
        <f aca="false">O393+O410+O426+O438+O454+O469+O481+O494+O510+O526</f>
        <v>0</v>
      </c>
      <c r="P607" s="71" t="n">
        <f aca="false">P393+P410+P426+P438+P454+P469+P481+P494+P510+P526</f>
        <v>64563.9093731645</v>
      </c>
      <c r="Q607" s="71" t="n">
        <f aca="false">Q393+Q410+Q426+Q438+Q454+Q469+Q481+Q494+Q510+Q526</f>
        <v>173834.963681605</v>
      </c>
      <c r="R607" s="71" t="n">
        <f aca="false">R393+R410+R426+R438+R454+R469+R481+R494+R510+R526</f>
        <v>212579.044888438</v>
      </c>
      <c r="S607" s="71" t="n">
        <f aca="false">S393+S410+S426+S438+S454+S469+S481+S494+S510+S526</f>
        <v>247174.474197277</v>
      </c>
      <c r="T607" s="71" t="n">
        <f aca="false">T393+T410+T426+T438+T454+T469+T481+T494+T510+T526</f>
        <v>328434.350647974</v>
      </c>
      <c r="U607" s="71" t="n">
        <f aca="false">U393+U410+U426+U438+U454+U469+U481+U494+U510+U526</f>
        <v>250320.234818185</v>
      </c>
      <c r="V607" s="71" t="n">
        <f aca="false">V393+V410+V426+V438+V454+V469+V481+V494+V510+V526</f>
        <v>283619.531238824</v>
      </c>
      <c r="W607" s="71" t="n">
        <f aca="false">W393+W410+W426+W438+W454+W469+W481+W494+W510+W526</f>
        <v>214875.82842502</v>
      </c>
      <c r="X607" s="71" t="n">
        <f aca="false">X393+X410+X426+X438+X454+X469+X481+X494+X510+X526</f>
        <v>136870.751817494</v>
      </c>
      <c r="Y607" s="71" t="n">
        <f aca="false">Y393+Y410+Y426+Y438+Y454+Y469+Y481+Y494+Y510+Y526</f>
        <v>161372.306155194</v>
      </c>
      <c r="Z607" s="71" t="n">
        <f aca="false">Z393+Z410+Z426+Z438+Z454+Z469+Z481+Z494+Z510+Z526</f>
        <v>111248.247028124</v>
      </c>
      <c r="AA607" s="71" t="n">
        <f aca="false">AA393+AA410+AA426+AA438+AA454+AA469+AA481+AA494+AA510+AA526</f>
        <v>96687.4332847761</v>
      </c>
      <c r="AB607" s="71" t="n">
        <f aca="false">AB393+AB410+AB426+AB438+AB454+AB469+AB481+AB494+AB510+AB526</f>
        <v>104656.177786269</v>
      </c>
    </row>
    <row r="608" customFormat="false" ht="15" hidden="false" customHeight="false" outlineLevel="0" collapsed="false">
      <c r="A608" s="29" t="s">
        <v>943</v>
      </c>
      <c r="B608" s="60"/>
      <c r="C608" s="61" t="n">
        <f aca="false">SUM(E608:P608)</f>
        <v>196941.867847265</v>
      </c>
      <c r="D608" s="61" t="n">
        <f aca="false">SUM(Q608:AB608)</f>
        <v>4292827.22318094</v>
      </c>
      <c r="E608" s="71" t="n">
        <f aca="false">E539+E550+E561</f>
        <v>0</v>
      </c>
      <c r="F608" s="71" t="n">
        <f aca="false">F539+F550+F561</f>
        <v>0</v>
      </c>
      <c r="G608" s="71" t="n">
        <f aca="false">G539+G550+G561</f>
        <v>0</v>
      </c>
      <c r="H608" s="71" t="n">
        <f aca="false">H539+H550+H561</f>
        <v>0</v>
      </c>
      <c r="I608" s="71" t="n">
        <f aca="false">I539+I550+I561</f>
        <v>0</v>
      </c>
      <c r="J608" s="71" t="n">
        <f aca="false">J539+J550+J561</f>
        <v>0</v>
      </c>
      <c r="K608" s="71" t="n">
        <f aca="false">K539+K550+K561</f>
        <v>0</v>
      </c>
      <c r="L608" s="71" t="n">
        <f aca="false">L539+L550+L561</f>
        <v>0</v>
      </c>
      <c r="M608" s="71" t="n">
        <f aca="false">M539+M550+M561</f>
        <v>0</v>
      </c>
      <c r="N608" s="71" t="n">
        <f aca="false">N539+N550+N561</f>
        <v>0</v>
      </c>
      <c r="O608" s="71" t="n">
        <f aca="false">O539+O550+O561</f>
        <v>98433.9316200042</v>
      </c>
      <c r="P608" s="71" t="n">
        <f aca="false">P539+P550+P561</f>
        <v>98507.9362272608</v>
      </c>
      <c r="Q608" s="71" t="n">
        <f aca="false">Q539+Q550+Q561</f>
        <v>106259.120318198</v>
      </c>
      <c r="R608" s="71" t="n">
        <f aca="false">R539+R550+R561</f>
        <v>112749.263045669</v>
      </c>
      <c r="S608" s="71" t="n">
        <f aca="false">S539+S550+S561</f>
        <v>163830.477856546</v>
      </c>
      <c r="T608" s="71" t="n">
        <f aca="false">T539+T550+T561</f>
        <v>302573.812078192</v>
      </c>
      <c r="U608" s="71" t="n">
        <f aca="false">U539+U550+U561</f>
        <v>256165.860439507</v>
      </c>
      <c r="V608" s="71" t="n">
        <f aca="false">V539+V550+V561</f>
        <v>389769.023097364</v>
      </c>
      <c r="W608" s="71" t="n">
        <f aca="false">W539+W550+W561</f>
        <v>424953.200089838</v>
      </c>
      <c r="X608" s="71" t="n">
        <f aca="false">X539+X550+X561</f>
        <v>412101.287921709</v>
      </c>
      <c r="Y608" s="71" t="n">
        <f aca="false">Y539+Y550+Y561</f>
        <v>512574.563933563</v>
      </c>
      <c r="Z608" s="71" t="n">
        <f aca="false">Z539+Z550+Z561</f>
        <v>497178.209941865</v>
      </c>
      <c r="AA608" s="71" t="n">
        <f aca="false">AA539+AA550+AA561</f>
        <v>535439.251754605</v>
      </c>
      <c r="AB608" s="71" t="n">
        <f aca="false">AB539+AB550+AB561</f>
        <v>579233.152703884</v>
      </c>
    </row>
    <row r="609" customFormat="false" ht="15" hidden="false" customHeight="false" outlineLevel="0" collapsed="false">
      <c r="A609" s="29" t="s">
        <v>944</v>
      </c>
      <c r="B609" s="60"/>
      <c r="C609" s="66" t="n">
        <f aca="false">SUM(E609:P609)</f>
        <v>1124.69641978259</v>
      </c>
      <c r="D609" s="66" t="n">
        <f aca="false">SUM(Q609:AB609)</f>
        <v>23421.0078034514</v>
      </c>
      <c r="E609" s="72" t="n">
        <f aca="false">E536+E547+E558</f>
        <v>0</v>
      </c>
      <c r="F609" s="72" t="n">
        <f aca="false">F536+F547+F558</f>
        <v>0</v>
      </c>
      <c r="G609" s="72" t="n">
        <f aca="false">G536+G547+G558</f>
        <v>0</v>
      </c>
      <c r="H609" s="72" t="n">
        <f aca="false">H536+H547+H558</f>
        <v>0</v>
      </c>
      <c r="I609" s="72" t="n">
        <f aca="false">I536+I547+I558</f>
        <v>0</v>
      </c>
      <c r="J609" s="72" t="n">
        <f aca="false">J536+J547+J558</f>
        <v>0</v>
      </c>
      <c r="K609" s="72" t="n">
        <f aca="false">K536+K547+K558</f>
        <v>0</v>
      </c>
      <c r="L609" s="72" t="n">
        <f aca="false">L536+L547+L558</f>
        <v>0</v>
      </c>
      <c r="M609" s="72" t="n">
        <f aca="false">M536+M547+M558</f>
        <v>0</v>
      </c>
      <c r="N609" s="72" t="n">
        <f aca="false">N536+N547+N558</f>
        <v>0</v>
      </c>
      <c r="O609" s="72" t="n">
        <f aca="false">O536+O547+O558</f>
        <v>551.153218841797</v>
      </c>
      <c r="P609" s="72" t="n">
        <f aca="false">P536+P547+P558</f>
        <v>573.543200940788</v>
      </c>
      <c r="Q609" s="72" t="n">
        <f aca="false">Q536+Q547+Q558</f>
        <v>579.895444190761</v>
      </c>
      <c r="R609" s="72" t="n">
        <f aca="false">R536+R547+R558</f>
        <v>613.575815719259</v>
      </c>
      <c r="S609" s="72" t="n">
        <f aca="false">S536+S547+S558</f>
        <v>874.758814530253</v>
      </c>
      <c r="T609" s="72" t="n">
        <f aca="false">T536+T547+T558</f>
        <v>1620.87194247532</v>
      </c>
      <c r="U609" s="72" t="n">
        <f aca="false">U536+U547+U558</f>
        <v>1376.89235168136</v>
      </c>
      <c r="V609" s="72" t="n">
        <f aca="false">V536+V547+V558</f>
        <v>2098.3739605905</v>
      </c>
      <c r="W609" s="72" t="n">
        <f aca="false">W536+W547+W558</f>
        <v>2295.06699937052</v>
      </c>
      <c r="X609" s="72" t="n">
        <f aca="false">X536+X547+X558</f>
        <v>2231.01461523638</v>
      </c>
      <c r="Y609" s="72" t="n">
        <f aca="false">Y536+Y547+Y558</f>
        <v>2830.87483189991</v>
      </c>
      <c r="Z609" s="72" t="n">
        <f aca="false">Z536+Z547+Z558</f>
        <v>2745.60375505198</v>
      </c>
      <c r="AA609" s="72" t="n">
        <f aca="false">AA536+AA547+AA558</f>
        <v>2956.46744636934</v>
      </c>
      <c r="AB609" s="72" t="n">
        <f aca="false">AB536+AB547+AB558</f>
        <v>3197.61182633579</v>
      </c>
    </row>
    <row r="610" customFormat="false" ht="15" hidden="false" customHeight="false" outlineLevel="0" collapsed="false">
      <c r="A610" s="29" t="s">
        <v>342</v>
      </c>
      <c r="B610" s="60"/>
      <c r="C610" s="61" t="n">
        <f aca="false">P610</f>
        <v>1011594.06187517</v>
      </c>
      <c r="D610" s="61" t="n">
        <f aca="false">AB610</f>
        <v>0</v>
      </c>
      <c r="E610" s="71" t="n">
        <f aca="false">E54+E71+E85+E100+E116+E130+E145+E159+E174+E192+E208+E222+E237+E255+E271+E287+E301+E318+E331+E346+E361+E374+E387</f>
        <v>7523778.93326748</v>
      </c>
      <c r="F610" s="71" t="n">
        <f aca="false">F54+F71+F85+F100+F116+F130+F145+F159+F174+F192+F208+F222+F237+F255+F271+F287+F301+F318+F331+F346+F361+F374+F387</f>
        <v>7030993.5062637</v>
      </c>
      <c r="G610" s="71" t="n">
        <f aca="false">G54+G71+G85+G100+G116+G130+G145+G159+G174+G192+G208+G222+G237+G255+G271+G287+G301+G318+G331+G346+G361+G374+G387</f>
        <v>6413571.26546708</v>
      </c>
      <c r="H610" s="71" t="n">
        <f aca="false">H54+H71+H85+H100+H116+H130+H145+H159+H174+H192+H208+H222+H237+H255+H271+H287+H301+H318+H331+H346+H361+H374+H387</f>
        <v>5878353.25220059</v>
      </c>
      <c r="I610" s="71" t="n">
        <f aca="false">I54+I71+I85+I100+I116+I130+I145+I159+I174+I192+I208+I222+I237+I255+I271+I287+I301+I318+I331+I346+I361+I374+I387</f>
        <v>5326609.20005988</v>
      </c>
      <c r="J610" s="71" t="n">
        <f aca="false">J54+J71+J85+J100+J116+J130+J145+J159+J174+J192+J208+J222+J237+J255+J271+J287+J301+J318+J331+J346+J361+J374+J387</f>
        <v>4631958.88608886</v>
      </c>
      <c r="K610" s="71" t="n">
        <f aca="false">K54+K71+K85+K100+K116+K130+K145+K159+K174+K192+K208+K222+K237+K255+K271+K287+K301+K318+K331+K346+K361+K374+K387</f>
        <v>4030493.56143955</v>
      </c>
      <c r="L610" s="71" t="n">
        <f aca="false">L54+L71+L85+L100+L116+L130+L145+L159+L174+L192+L208+L222+L237+L255+L271+L287+L301+L318+L331+L346+L361+L374+L387</f>
        <v>3549359.2277402</v>
      </c>
      <c r="M610" s="71" t="n">
        <f aca="false">M54+M71+M85+M100+M116+M130+M145+M159+M174+M192+M208+M222+M237+M255+M271+M287+M301+M318+M331+M346+M361+M374+M387</f>
        <v>2815136.26448857</v>
      </c>
      <c r="N610" s="71" t="n">
        <f aca="false">N54+N71+N85+N100+N116+N130+N145+N159+N174+N192+N208+N222+N237+N255+N271+N287+N301+N318+N331+N346+N361+N374+N387</f>
        <v>2144984.90904615</v>
      </c>
      <c r="O610" s="71" t="n">
        <f aca="false">O54+O71+O85+O100+O116+O130+O145+O159+O174+O192+O208+O222+O237+O255+O271+O287+O301+O318+O331+O346+O361+O374+O387</f>
        <v>1570234.04587599</v>
      </c>
      <c r="P610" s="71" t="n">
        <f aca="false">P54+P71+P85+P100+P116+P130+P145+P159+P174+P192+P208+P222+P237+P255+P271+P287+P301+P318+P331+P346+P361+P374+P387</f>
        <v>1011594.06187517</v>
      </c>
      <c r="Q610" s="71" t="n">
        <f aca="false">Q54+Q71+Q85+Q100+Q116+Q130+Q145+Q159+Q174+Q192+Q208+Q222+Q237+Q255+Q271+Q287+Q301+Q318+Q331+Q346+Q361+Q374+Q387</f>
        <v>663458.456705522</v>
      </c>
      <c r="R610" s="71" t="n">
        <f aca="false">R54+R71+R85+R100+R116+R130+R145+R159+R174+R192+R208+R222+R237+R255+R271+R287+R301+R318+R331+R346+R361+R374+R387</f>
        <v>307181.78213317</v>
      </c>
      <c r="S610" s="71" t="n">
        <f aca="false">S54+S71+S85+S100+S116+S130+S145+S159+S174+S192+S208+S222+S237+S255+S271+S287+S301+S318+S331+S346+S361+S374+S387</f>
        <v>42933.6950521818</v>
      </c>
      <c r="T610" s="71" t="n">
        <f aca="false">T54+T71+T85+T100+T116+T130+T145+T159+T174+T192+T208+T222+T237+T255+T271+T287+T301+T318+T331+T346+T361+T374+T387</f>
        <v>0</v>
      </c>
      <c r="U610" s="71" t="n">
        <f aca="false">U54+U71+U85+U100+U116+U130+U145+U159+U174+U192+U208+U222+U237+U255+U271+U287+U301+U318+U331+U346+U361+U374+U387</f>
        <v>0</v>
      </c>
      <c r="V610" s="71" t="n">
        <f aca="false">V54+V71+V85+V100+V116+V130+V145+V159+V174+V192+V208+V222+V237+V255+V271+V287+V301+V318+V331+V346+V361+V374+V387</f>
        <v>0</v>
      </c>
      <c r="W610" s="71" t="n">
        <f aca="false">W54+W71+W85+W100+W116+W130+W145+W159+W174+W192+W208+W222+W237+W255+W271+W287+W301+W318+W331+W346+W361+W374+W387</f>
        <v>0</v>
      </c>
      <c r="X610" s="71" t="n">
        <f aca="false">X54+X71+X85+X100+X116+X130+X145+X159+X174+X192+X208+X222+X237+X255+X271+X287+X301+X318+X331+X346+X361+X374+X387</f>
        <v>0</v>
      </c>
      <c r="Y610" s="71" t="n">
        <f aca="false">Y54+Y71+Y85+Y100+Y116+Y130+Y145+Y159+Y174+Y192+Y208+Y222+Y237+Y255+Y271+Y287+Y301+Y318+Y331+Y346+Y361+Y374+Y387</f>
        <v>0</v>
      </c>
      <c r="Z610" s="71" t="n">
        <f aca="false">Z54+Z71+Z85+Z100+Z116+Z130+Z145+Z159+Z174+Z192+Z208+Z222+Z237+Z255+Z271+Z287+Z301+Z318+Z331+Z346+Z361+Z374+Z387</f>
        <v>0</v>
      </c>
      <c r="AA610" s="71" t="n">
        <f aca="false">AA54+AA71+AA85+AA100+AA116+AA130+AA145+AA159+AA174+AA192+AA208+AA222+AA237+AA255+AA271+AA287+AA301+AA318+AA331+AA346+AA361+AA374+AA387</f>
        <v>0</v>
      </c>
      <c r="AB610" s="71" t="n">
        <f aca="false">AB54+AB71+AB85+AB100+AB116+AB130+AB145+AB159+AB174+AB192+AB208+AB222+AB237+AB255+AB271+AB287+AB301+AB318+AB331+AB346+AB361+AB374+AB387</f>
        <v>0</v>
      </c>
    </row>
    <row r="611" customFormat="false" ht="15" hidden="false" customHeight="false" outlineLevel="0" collapsed="false">
      <c r="A611" s="29" t="s">
        <v>945</v>
      </c>
      <c r="B611" s="60"/>
      <c r="C611" s="61" t="n">
        <f aca="false">P611</f>
        <v>2263916.76062684</v>
      </c>
      <c r="D611" s="61" t="n">
        <f aca="false">AB611</f>
        <v>0</v>
      </c>
      <c r="E611" s="71" t="n">
        <f aca="false">E400+E417+E432+E445+E460+E475+E488+E501+E516+E533</f>
        <v>2328480.67</v>
      </c>
      <c r="F611" s="71" t="n">
        <f aca="false">F400+F417+F432+F445+F460+F475+F488+F501+F516+F533</f>
        <v>2328480.67</v>
      </c>
      <c r="G611" s="71" t="n">
        <f aca="false">G400+G417+G432+G445+G460+G475+G488+G501+G516+G533</f>
        <v>2328480.67</v>
      </c>
      <c r="H611" s="71" t="n">
        <f aca="false">H400+H417+H432+H445+H460+H475+H488+H501+H516+H533</f>
        <v>2328480.67</v>
      </c>
      <c r="I611" s="71" t="n">
        <f aca="false">I400+I417+I432+I445+I460+I475+I488+I501+I516+I533</f>
        <v>2328480.67</v>
      </c>
      <c r="J611" s="71" t="n">
        <f aca="false">J400+J417+J432+J445+J460+J475+J488+J501+J516+J533</f>
        <v>2328480.67</v>
      </c>
      <c r="K611" s="71" t="n">
        <f aca="false">K400+K417+K432+K445+K460+K475+K488+K501+K516+K533</f>
        <v>2328480.67</v>
      </c>
      <c r="L611" s="71" t="n">
        <f aca="false">L400+L417+L432+L445+L460+L475+L488+L501+L516+L533</f>
        <v>2328480.67</v>
      </c>
      <c r="M611" s="71" t="n">
        <f aca="false">M400+M417+M432+M445+M460+M475+M488+M501+M516+M533</f>
        <v>2328480.67</v>
      </c>
      <c r="N611" s="71" t="n">
        <f aca="false">N400+N417+N432+N445+N460+N475+N488+N501+N516+N533</f>
        <v>2328480.67</v>
      </c>
      <c r="O611" s="71" t="n">
        <f aca="false">O400+O417+O432+O445+O460+O475+O488+O501+O516+O533</f>
        <v>2328480.67</v>
      </c>
      <c r="P611" s="71" t="n">
        <f aca="false">P400+P417+P432+P445+P460+P475+P488+P501+P516+P533</f>
        <v>2263916.76062684</v>
      </c>
      <c r="Q611" s="71" t="n">
        <f aca="false">Q400+Q417+Q432+Q445+Q460+Q475+Q488+Q501+Q516+Q533</f>
        <v>2147838.38028758</v>
      </c>
      <c r="R611" s="71" t="n">
        <f aca="false">R400+R417+R432+R445+R460+R475+R488+R501+R516+R533</f>
        <v>1935259.33539914</v>
      </c>
      <c r="S611" s="71" t="n">
        <f aca="false">S400+S417+S432+S445+S460+S475+S488+S501+S516+S533</f>
        <v>1688084.86120186</v>
      </c>
      <c r="T611" s="71" t="n">
        <f aca="false">T400+T417+T432+T445+T460+T475+T488+T501+T516+T533</f>
        <v>1359650.51055389</v>
      </c>
      <c r="U611" s="71" t="n">
        <f aca="false">U400+U417+U432+U445+U460+U475+U488+U501+U516+U533</f>
        <v>1109330.2757357</v>
      </c>
      <c r="V611" s="71" t="n">
        <f aca="false">V400+V417+V432+V445+V460+V475+V488+V501+V516+V533</f>
        <v>825710.744496877</v>
      </c>
      <c r="W611" s="71" t="n">
        <f aca="false">W400+W417+W432+W445+W460+W475+W488+W501+W516+W533</f>
        <v>610834.916071857</v>
      </c>
      <c r="X611" s="71" t="n">
        <f aca="false">X400+X417+X432+X445+X460+X475+X488+X501+X516+X533</f>
        <v>473964.164254363</v>
      </c>
      <c r="Y611" s="71" t="n">
        <f aca="false">Y400+Y417+Y432+Y445+Y460+Y475+Y488+Y501+Y516+Y533</f>
        <v>312591.858099169</v>
      </c>
      <c r="Z611" s="71" t="n">
        <f aca="false">Z400+Z417+Z432+Z445+Z460+Z475+Z488+Z501+Z516+Z533</f>
        <v>201343.611071045</v>
      </c>
      <c r="AA611" s="71" t="n">
        <f aca="false">AA400+AA417+AA432+AA445+AA460+AA475+AA488+AA501+AA516+AA533</f>
        <v>104656.177786269</v>
      </c>
      <c r="AB611" s="71" t="n">
        <f aca="false">AB400+AB417+AB432+AB445+AB460+AB475+AB488+AB501+AB516+AB533</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946</v>
      </c>
    </row>
    <row r="3" customFormat="false" ht="15" hidden="false" customHeight="false" outlineLevel="0" collapsed="false">
      <c r="A3" s="51" t="s">
        <v>947</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948</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679</v>
      </c>
      <c r="B9" s="60" t="s">
        <v>51</v>
      </c>
      <c r="C9" s="61" t="n">
        <f aca="false">SUM(E9:P9)</f>
        <v>1887343.21088482</v>
      </c>
      <c r="D9" s="61" t="n">
        <f aca="false">SUM(Q9:AB9)</f>
        <v>1487197.6257698</v>
      </c>
      <c r="E9" s="62" t="n">
        <f aca="false">Engagements!E47+Engagements!E311+Engagements!E380+Engagements!E393</f>
        <v>129123.85</v>
      </c>
      <c r="F9" s="62" t="n">
        <f aca="false">Engagements!F47+Engagements!F311+Engagements!F380+Engagements!F393</f>
        <v>113176.33</v>
      </c>
      <c r="G9" s="62" t="n">
        <f aca="false">Engagements!G47+Engagements!G311+Engagements!G380+Engagements!G393</f>
        <v>139848.85</v>
      </c>
      <c r="H9" s="62" t="n">
        <f aca="false">Engagements!H47+Engagements!H311+Engagements!H380+Engagements!H393</f>
        <v>101634.82</v>
      </c>
      <c r="I9" s="62" t="n">
        <f aca="false">Engagements!I47+Engagements!I311+Engagements!I380+Engagements!I393</f>
        <v>113443.94</v>
      </c>
      <c r="J9" s="62" t="n">
        <f aca="false">Engagements!J47+Engagements!J311+Engagements!J380+Engagements!J393</f>
        <v>128377.58</v>
      </c>
      <c r="K9" s="62" t="n">
        <f aca="false">Engagements!K47+Engagements!K311+Engagements!K380+Engagements!K393</f>
        <v>144975.83</v>
      </c>
      <c r="L9" s="62" t="n">
        <f aca="false">Engagements!L47+Engagements!L311+Engagements!L380+Engagements!L393</f>
        <v>105580.84</v>
      </c>
      <c r="M9" s="62" t="n">
        <f aca="false">Engagements!M47+Engagements!M311+Engagements!M380+Engagements!M393</f>
        <v>233918.82209543</v>
      </c>
      <c r="N9" s="62" t="n">
        <f aca="false">Engagements!N47+Engagements!N311+Engagements!N380+Engagements!N393</f>
        <v>225345.880971514</v>
      </c>
      <c r="O9" s="62" t="n">
        <f aca="false">Engagements!O47+Engagements!O311+Engagements!O380+Engagements!O393</f>
        <v>222896.469221823</v>
      </c>
      <c r="P9" s="62" t="n">
        <f aca="false">Engagements!P47+Engagements!P311+Engagements!P380+Engagements!P393</f>
        <v>229019.998596049</v>
      </c>
      <c r="Q9" s="62" t="n">
        <f aca="false">Engagements!Q47+Engagements!Q311+Engagements!Q380+Engagements!Q393</f>
        <v>201736.482935394</v>
      </c>
      <c r="R9" s="62" t="n">
        <f aca="false">Engagements!R47+Engagements!R311+Engagements!R380+Engagements!R393</f>
        <v>208040.748027125</v>
      </c>
      <c r="S9" s="62" t="n">
        <f aca="false">Engagements!S47+Engagements!S311+Engagements!S380+Engagements!S393</f>
        <v>223170.98424728</v>
      </c>
      <c r="T9" s="62" t="n">
        <f aca="false">Engagements!T47+Engagements!T311+Engagements!T380+Engagements!T393</f>
        <v>98281.1821850746</v>
      </c>
      <c r="U9" s="62" t="n">
        <f aca="false">Engagements!U47+Engagements!U311+Engagements!U380+Engagements!U393</f>
        <v>74906.1983140299</v>
      </c>
      <c r="V9" s="62" t="n">
        <f aca="false">Engagements!V47+Engagements!V311+Engagements!V380+Engagements!V393</f>
        <v>101468.679985672</v>
      </c>
      <c r="W9" s="62" t="n">
        <f aca="false">Engagements!W47+Engagements!W311+Engagements!W380+Engagements!W393</f>
        <v>98281.1821850746</v>
      </c>
      <c r="X9" s="62" t="n">
        <f aca="false">Engagements!X47+Engagements!X311+Engagements!X380+Engagements!X393</f>
        <v>86062.4406161194</v>
      </c>
      <c r="Y9" s="62" t="n">
        <f aca="false">Engagements!Y47+Engagements!Y311+Engagements!Y380+Engagements!Y393</f>
        <v>101468.679985672</v>
      </c>
      <c r="Z9" s="62" t="n">
        <f aca="false">Engagements!Z47+Engagements!Z311+Engagements!Z380+Engagements!Z393</f>
        <v>92437.4362173134</v>
      </c>
      <c r="AA9" s="62" t="n">
        <f aca="false">Engagements!AA47+Engagements!AA311+Engagements!AA380+Engagements!AA393</f>
        <v>96687.4332847761</v>
      </c>
      <c r="AB9" s="62" t="n">
        <f aca="false">Engagements!AB47+Engagements!AB311+Engagements!AB380+Engagements!AB393</f>
        <v>104656.177786269</v>
      </c>
    </row>
    <row r="10" customFormat="false" ht="15" hidden="false" customHeight="false" outlineLevel="0" collapsed="false">
      <c r="A10" s="29" t="s">
        <v>498</v>
      </c>
      <c r="B10" s="60" t="s">
        <v>51</v>
      </c>
      <c r="C10" s="61" t="n">
        <f aca="false">SUM(E10:P10)</f>
        <v>120579.788073836</v>
      </c>
      <c r="D10" s="61" t="n">
        <f aca="false">SUM(Q10:AB10)</f>
        <v>93347.4599839486</v>
      </c>
      <c r="E10" s="62" t="n">
        <f aca="false">Engagements!E51+Engagements!E315+Engagements!E384+Engagements!E397</f>
        <v>7418</v>
      </c>
      <c r="F10" s="62" t="n">
        <f aca="false">Engagements!F51+Engagements!F315+Engagements!F384+Engagements!F397</f>
        <v>5932.03</v>
      </c>
      <c r="G10" s="62" t="n">
        <f aca="false">Engagements!G51+Engagements!G315+Engagements!G384+Engagements!G397</f>
        <v>8990.37</v>
      </c>
      <c r="H10" s="62" t="n">
        <f aca="false">Engagements!H51+Engagements!H315+Engagements!H384+Engagements!H397</f>
        <v>5957.49</v>
      </c>
      <c r="I10" s="62" t="n">
        <f aca="false">Engagements!I51+Engagements!I315+Engagements!I384+Engagements!I397</f>
        <v>6400.54</v>
      </c>
      <c r="J10" s="62" t="n">
        <f aca="false">Engagements!J51+Engagements!J315+Engagements!J384+Engagements!J397</f>
        <v>8203.43</v>
      </c>
      <c r="K10" s="62" t="n">
        <f aca="false">Engagements!K51+Engagements!K315+Engagements!K384+Engagements!K397</f>
        <v>10505.41</v>
      </c>
      <c r="L10" s="62" t="n">
        <f aca="false">Engagements!L51+Engagements!L315+Engagements!L384+Engagements!L397</f>
        <v>7032.12</v>
      </c>
      <c r="M10" s="62" t="n">
        <f aca="false">Engagements!M51+Engagements!M315+Engagements!M384+Engagements!M397</f>
        <v>15439.2688603531</v>
      </c>
      <c r="N10" s="62" t="n">
        <f aca="false">Engagements!N51+Engagements!N315+Engagements!N384+Engagements!N397</f>
        <v>14873.4317817014</v>
      </c>
      <c r="O10" s="62" t="n">
        <f aca="false">Engagements!O51+Engagements!O315+Engagements!O384+Engagements!O397</f>
        <v>14711.7640449438</v>
      </c>
      <c r="P10" s="62" t="n">
        <f aca="false">Engagements!P51+Engagements!P315+Engagements!P384+Engagements!P397</f>
        <v>15115.9333868379</v>
      </c>
      <c r="Q10" s="62" t="n">
        <f aca="false">Engagements!Q51+Engagements!Q315+Engagements!Q384+Engagements!Q397</f>
        <v>13321.4215088282</v>
      </c>
      <c r="R10" s="62" t="n">
        <f aca="false">Engagements!R51+Engagements!R315+Engagements!R384+Engagements!R397</f>
        <v>13737.7159309791</v>
      </c>
      <c r="S10" s="62" t="n">
        <f aca="false">Engagements!S51+Engagements!S315+Engagements!S384+Engagements!S397</f>
        <v>14736.8225441413</v>
      </c>
      <c r="T10" s="62" t="n">
        <f aca="false">Engagements!T51+Engagements!T315+Engagements!T384+Engagements!T397</f>
        <v>5930.98725124378</v>
      </c>
      <c r="U10" s="62" t="n">
        <f aca="false">Engagements!U51+Engagements!U315+Engagements!U384+Engagements!U397</f>
        <v>4520.37406716418</v>
      </c>
      <c r="V10" s="62" t="n">
        <f aca="false">Engagements!V51+Engagements!V315+Engagements!V384+Engagements!V397</f>
        <v>6123.34359452736</v>
      </c>
      <c r="W10" s="62" t="n">
        <f aca="false">Engagements!W51+Engagements!W315+Engagements!W384+Engagements!W397</f>
        <v>5930.98725124378</v>
      </c>
      <c r="X10" s="62" t="n">
        <f aca="false">Engagements!X51+Engagements!X315+Engagements!X384+Engagements!X397</f>
        <v>5193.62126865672</v>
      </c>
      <c r="Y10" s="62" t="n">
        <f aca="false">Engagements!Y51+Engagements!Y315+Engagements!Y384+Engagements!Y397</f>
        <v>6123.34359452736</v>
      </c>
      <c r="Z10" s="62" t="n">
        <f aca="false">Engagements!Z51+Engagements!Z315+Engagements!Z384+Engagements!Z397</f>
        <v>5578.33395522388</v>
      </c>
      <c r="AA10" s="62" t="n">
        <f aca="false">Engagements!AA51+Engagements!AA315+Engagements!AA384+Engagements!AA397</f>
        <v>5834.80907960199</v>
      </c>
      <c r="AB10" s="62" t="n">
        <f aca="false">Engagements!AB51+Engagements!AB315+Engagements!AB384+Engagements!AB397</f>
        <v>6315.69993781095</v>
      </c>
    </row>
    <row r="11" customFormat="false" ht="15" hidden="false" customHeight="false" outlineLevel="0" collapsed="false">
      <c r="A11" s="68" t="s">
        <v>351</v>
      </c>
      <c r="B11" s="69"/>
      <c r="C11" s="70" t="n">
        <f aca="false">SUM(E11:P11)</f>
        <v>2007922.99895865</v>
      </c>
      <c r="D11" s="70" t="n">
        <f aca="false">SUM(Q11:AB11)</f>
        <v>1580545.08575375</v>
      </c>
      <c r="E11" s="70" t="n">
        <f aca="false">E9+E10</f>
        <v>136541.85</v>
      </c>
      <c r="F11" s="70" t="n">
        <f aca="false">F9+F10</f>
        <v>119108.36</v>
      </c>
      <c r="G11" s="70" t="n">
        <f aca="false">G9+G10</f>
        <v>148839.22</v>
      </c>
      <c r="H11" s="70" t="n">
        <f aca="false">H9+H10</f>
        <v>107592.31</v>
      </c>
      <c r="I11" s="70" t="n">
        <f aca="false">I9+I10</f>
        <v>119844.48</v>
      </c>
      <c r="J11" s="70" t="n">
        <f aca="false">J9+J10</f>
        <v>136581.01</v>
      </c>
      <c r="K11" s="70" t="n">
        <f aca="false">K9+K10</f>
        <v>155481.24</v>
      </c>
      <c r="L11" s="70" t="n">
        <f aca="false">L9+L10</f>
        <v>112612.96</v>
      </c>
      <c r="M11" s="70" t="n">
        <f aca="false">M9+M10</f>
        <v>249358.090955783</v>
      </c>
      <c r="N11" s="70" t="n">
        <f aca="false">N9+N10</f>
        <v>240219.312753215</v>
      </c>
      <c r="O11" s="70" t="n">
        <f aca="false">O9+O10</f>
        <v>237608.233266767</v>
      </c>
      <c r="P11" s="70" t="n">
        <f aca="false">P9+P10</f>
        <v>244135.931982887</v>
      </c>
      <c r="Q11" s="70" t="n">
        <f aca="false">Q9+Q10</f>
        <v>215057.904444222</v>
      </c>
      <c r="R11" s="70" t="n">
        <f aca="false">R9+R10</f>
        <v>221778.463958104</v>
      </c>
      <c r="S11" s="70" t="n">
        <f aca="false">S9+S10</f>
        <v>237907.806791421</v>
      </c>
      <c r="T11" s="70" t="n">
        <f aca="false">T9+T10</f>
        <v>104212.169436318</v>
      </c>
      <c r="U11" s="70" t="n">
        <f aca="false">U9+U10</f>
        <v>79426.572381194</v>
      </c>
      <c r="V11" s="70" t="n">
        <f aca="false">V9+V10</f>
        <v>107592.023580199</v>
      </c>
      <c r="W11" s="70" t="n">
        <f aca="false">W9+W10</f>
        <v>104212.169436318</v>
      </c>
      <c r="X11" s="70" t="n">
        <f aca="false">X9+X10</f>
        <v>91256.0618847761</v>
      </c>
      <c r="Y11" s="70" t="n">
        <f aca="false">Y9+Y10</f>
        <v>107592.023580199</v>
      </c>
      <c r="Z11" s="70" t="n">
        <f aca="false">Z9+Z10</f>
        <v>98015.7701725373</v>
      </c>
      <c r="AA11" s="70" t="n">
        <f aca="false">AA9+AA10</f>
        <v>102522.242364378</v>
      </c>
      <c r="AB11" s="70" t="n">
        <f aca="false">AB9+AB10</f>
        <v>110971.87772408</v>
      </c>
    </row>
    <row r="12" customFormat="false" ht="15" hidden="false" customHeight="false" outlineLevel="0" collapsed="false">
      <c r="A12" s="29" t="s">
        <v>901</v>
      </c>
      <c r="B12" s="60" t="s">
        <v>51</v>
      </c>
      <c r="C12" s="66" t="n">
        <f aca="false">SUM(E12:P12)</f>
        <v>10389.0252006421</v>
      </c>
      <c r="D12" s="66" t="n">
        <f aca="false">SUM(Q12:AB12)</f>
        <v>7962.87479935795</v>
      </c>
      <c r="E12" s="67" t="n">
        <f aca="false">Engagements!E9+Engagements!E26+Engagements!E31+Engagements!E32</f>
        <v>708</v>
      </c>
      <c r="F12" s="67" t="n">
        <f aca="false">Engagements!F9+Engagements!F26+Engagements!F31+Engagements!F32</f>
        <v>622</v>
      </c>
      <c r="G12" s="67" t="n">
        <f aca="false">Engagements!G9+Engagements!G26+Engagements!G31+Engagements!G32</f>
        <v>749.6</v>
      </c>
      <c r="H12" s="67" t="n">
        <f aca="false">Engagements!H9+Engagements!H26+Engagements!H31+Engagements!H32</f>
        <v>562.6</v>
      </c>
      <c r="I12" s="67" t="n">
        <f aca="false">Engagements!I9+Engagements!I26+Engagements!I31+Engagements!I32</f>
        <v>615.2</v>
      </c>
      <c r="J12" s="67" t="n">
        <f aca="false">Engagements!J9+Engagements!J26+Engagements!J31+Engagements!J32</f>
        <v>696.5</v>
      </c>
      <c r="K12" s="67" t="n">
        <f aca="false">Engagements!K9+Engagements!K26+Engagements!K31+Engagements!K32</f>
        <v>801.1</v>
      </c>
      <c r="L12" s="67" t="n">
        <f aca="false">Engagements!L9+Engagements!L26+Engagements!L31+Engagements!L32</f>
        <v>575.9</v>
      </c>
      <c r="M12" s="67" t="n">
        <f aca="false">Engagements!M9+Engagements!M26+Engagements!M31+Engagements!M32</f>
        <v>1298.52407704655</v>
      </c>
      <c r="N12" s="67" t="n">
        <f aca="false">Engagements!N9+Engagements!N26+Engagements!N31+Engagements!N32</f>
        <v>1250.9341894061</v>
      </c>
      <c r="O12" s="67" t="n">
        <f aca="false">Engagements!O9+Engagements!O26+Engagements!O31+Engagements!O32</f>
        <v>1237.33707865169</v>
      </c>
      <c r="P12" s="67" t="n">
        <f aca="false">Engagements!P9+Engagements!P26+Engagements!P31+Engagements!P32</f>
        <v>1271.32985553772</v>
      </c>
      <c r="Q12" s="67" t="n">
        <f aca="false">Engagements!Q9+Engagements!Q26+Engagements!Q31+Engagements!Q32</f>
        <v>1087.76886035313</v>
      </c>
      <c r="R12" s="67" t="n">
        <f aca="false">Engagements!R9+Engagements!R26+Engagements!R31+Engagements!R32</f>
        <v>1121.76163723917</v>
      </c>
      <c r="S12" s="67" t="n">
        <f aca="false">Engagements!S9+Engagements!S26+Engagements!S31+Engagements!S32</f>
        <v>1203.34430176565</v>
      </c>
      <c r="T12" s="67" t="n">
        <f aca="false">Engagements!T9+Engagements!T26+Engagements!T31+Engagements!T32</f>
        <v>523.476368159204</v>
      </c>
      <c r="U12" s="67" t="n">
        <f aca="false">Engagements!U9+Engagements!U26+Engagements!U31+Engagements!U32</f>
        <v>398.973880597015</v>
      </c>
      <c r="V12" s="67" t="n">
        <f aca="false">Engagements!V9+Engagements!V26+Engagements!V31+Engagements!V32</f>
        <v>540.453980099503</v>
      </c>
      <c r="W12" s="67" t="n">
        <f aca="false">Engagements!W9+Engagements!W26+Engagements!W31+Engagements!W32</f>
        <v>523.476368159204</v>
      </c>
      <c r="X12" s="67" t="n">
        <f aca="false">Engagements!X9+Engagements!X26+Engagements!X31+Engagements!X32</f>
        <v>458.39552238806</v>
      </c>
      <c r="Y12" s="67" t="n">
        <f aca="false">Engagements!Y9+Engagements!Y26+Engagements!Y31+Engagements!Y32</f>
        <v>540.453980099503</v>
      </c>
      <c r="Z12" s="67" t="n">
        <f aca="false">Engagements!Z9+Engagements!Z26+Engagements!Z31+Engagements!Z32</f>
        <v>492.350746268657</v>
      </c>
      <c r="AA12" s="67" t="n">
        <f aca="false">Engagements!AA9+Engagements!AA26+Engagements!AA31+Engagements!AA32</f>
        <v>514.987562189055</v>
      </c>
      <c r="AB12" s="67" t="n">
        <f aca="false">Engagements!AB9+Engagements!AB26+Engagements!AB31+Engagements!AB32</f>
        <v>557.431592039801</v>
      </c>
    </row>
    <row r="13" customFormat="false" ht="15" hidden="false" customHeight="false" outlineLevel="0" collapsed="false">
      <c r="A13" s="29" t="s">
        <v>833</v>
      </c>
      <c r="B13" s="60" t="s">
        <v>51</v>
      </c>
      <c r="C13" s="61" t="n">
        <f aca="false">SUM(E13:P13)</f>
        <v>2107484.38696629</v>
      </c>
      <c r="D13" s="61" t="n">
        <f aca="false">SUM(Q13:AB13)</f>
        <v>1681465.83595506</v>
      </c>
      <c r="E13" s="62" t="n">
        <f aca="false">Engagements!E45+Engagements!E307+Engagements!E378+Engagements!E391</f>
        <v>144715.2</v>
      </c>
      <c r="F13" s="62" t="n">
        <f aca="false">Engagements!F45+Engagements!F307+Engagements!F378+Engagements!F391</f>
        <v>127136.8</v>
      </c>
      <c r="G13" s="62" t="n">
        <f aca="false">Engagements!G45+Engagements!G307+Engagements!G378+Engagements!G391</f>
        <v>153218.24</v>
      </c>
      <c r="H13" s="62" t="n">
        <f aca="false">Engagements!H45+Engagements!H307+Engagements!H378+Engagements!H391</f>
        <v>114995.44</v>
      </c>
      <c r="I13" s="62" t="n">
        <f aca="false">Engagements!I45+Engagements!I307+Engagements!I378+Engagements!I391</f>
        <v>125746.88</v>
      </c>
      <c r="J13" s="62" t="n">
        <f aca="false">Engagements!J45+Engagements!J307+Engagements!J378+Engagements!J391</f>
        <v>142364.6</v>
      </c>
      <c r="K13" s="62" t="n">
        <f aca="false">Engagements!K45+Engagements!K307+Engagements!K378+Engagements!K391</f>
        <v>163744.84</v>
      </c>
      <c r="L13" s="62" t="n">
        <f aca="false">Engagements!L45+Engagements!L307+Engagements!L378+Engagements!L391</f>
        <v>117713.96</v>
      </c>
      <c r="M13" s="62" t="n">
        <f aca="false">Engagements!M45+Engagements!M307+Engagements!M378+Engagements!M391</f>
        <v>261302.485955056</v>
      </c>
      <c r="N13" s="62" t="n">
        <f aca="false">Engagements!N45+Engagements!N307+Engagements!N378+Engagements!N391</f>
        <v>251725.95505618</v>
      </c>
      <c r="O13" s="62" t="n">
        <f aca="false">Engagements!O45+Engagements!O307+Engagements!O378+Engagements!O391</f>
        <v>248989.803370787</v>
      </c>
      <c r="P13" s="62" t="n">
        <f aca="false">Engagements!P45+Engagements!P307+Engagements!P378+Engagements!P391</f>
        <v>255830.18258427</v>
      </c>
      <c r="Q13" s="62" t="n">
        <f aca="false">Engagements!Q45+Engagements!Q307+Engagements!Q378+Engagements!Q391</f>
        <v>227647.820224719</v>
      </c>
      <c r="R13" s="62" t="n">
        <f aca="false">Engagements!R45+Engagements!R307+Engagements!R378+Engagements!R391</f>
        <v>234761.814606742</v>
      </c>
      <c r="S13" s="62" t="n">
        <f aca="false">Engagements!S45+Engagements!S307+Engagements!S378+Engagements!S391</f>
        <v>251835.401123596</v>
      </c>
      <c r="T13" s="62" t="n">
        <f aca="false">Engagements!T45+Engagements!T307+Engagements!T378+Engagements!T391</f>
        <v>111278.512437811</v>
      </c>
      <c r="U13" s="62" t="n">
        <f aca="false">Engagements!U45+Engagements!U307+Engagements!U378+Engagements!U391</f>
        <v>84812.2716417911</v>
      </c>
      <c r="V13" s="62" t="n">
        <f aca="false">Engagements!V45+Engagements!V307+Engagements!V378+Engagements!V391</f>
        <v>114887.545273632</v>
      </c>
      <c r="W13" s="62" t="n">
        <f aca="false">Engagements!W45+Engagements!W307+Engagements!W378+Engagements!W391</f>
        <v>111278.512437811</v>
      </c>
      <c r="X13" s="62" t="n">
        <f aca="false">Engagements!X45+Engagements!X307+Engagements!X378+Engagements!X391</f>
        <v>97443.8865671642</v>
      </c>
      <c r="Y13" s="62" t="n">
        <f aca="false">Engagements!Y45+Engagements!Y307+Engagements!Y378+Engagements!Y391</f>
        <v>114887.545273632</v>
      </c>
      <c r="Z13" s="62" t="n">
        <f aca="false">Engagements!Z45+Engagements!Z307+Engagements!Z378+Engagements!Z391</f>
        <v>104661.952238806</v>
      </c>
      <c r="AA13" s="62" t="n">
        <f aca="false">Engagements!AA45+Engagements!AA307+Engagements!AA378+Engagements!AA391</f>
        <v>109473.996019901</v>
      </c>
      <c r="AB13" s="62" t="n">
        <f aca="false">Engagements!AB45+Engagements!AB307+Engagements!AB378+Engagements!AB391</f>
        <v>118496.578109453</v>
      </c>
    </row>
    <row r="14" customFormat="false" ht="15" hidden="false" customHeight="false" outlineLevel="0" collapsed="false">
      <c r="A14" s="29" t="s">
        <v>716</v>
      </c>
      <c r="B14" s="60" t="s">
        <v>51</v>
      </c>
      <c r="C14" s="61" t="n">
        <f aca="false">SUM(E14:P14)</f>
        <v>1905435.32203997</v>
      </c>
      <c r="D14" s="61" t="n">
        <f aca="false">SUM(Q14:AB14)</f>
        <v>1710266.96494835</v>
      </c>
      <c r="E14" s="62" t="n">
        <f aca="false">Engagements!E48+Engagements!E312+Engagements!E381+Engagements!E394+Engagements!E52+Engagements!E316+Engagements!E385+Engagements!E398</f>
        <v>138206.08</v>
      </c>
      <c r="F14" s="62" t="n">
        <f aca="false">Engagements!F48+Engagements!F312+Engagements!F381+Engagements!F394+Engagements!F52+Engagements!F316+Engagements!F385+Engagements!F398</f>
        <v>136541.85</v>
      </c>
      <c r="G14" s="62" t="n">
        <f aca="false">Engagements!G48+Engagements!G312+Engagements!G381+Engagements!G394+Engagements!G52+Engagements!G316+Engagements!G385+Engagements!G398</f>
        <v>119108.36</v>
      </c>
      <c r="H14" s="62" t="n">
        <f aca="false">Engagements!H48+Engagements!H312+Engagements!H381+Engagements!H394+Engagements!H52+Engagements!H316+Engagements!H385+Engagements!H398</f>
        <v>148839.22</v>
      </c>
      <c r="I14" s="62" t="n">
        <f aca="false">Engagements!I48+Engagements!I312+Engagements!I381+Engagements!I394+Engagements!I52+Engagements!I316+Engagements!I385+Engagements!I398</f>
        <v>107592.31</v>
      </c>
      <c r="J14" s="62" t="n">
        <f aca="false">Engagements!J48+Engagements!J312+Engagements!J381+Engagements!J394+Engagements!J52+Engagements!J316+Engagements!J385+Engagements!J398</f>
        <v>119844.48</v>
      </c>
      <c r="K14" s="62" t="n">
        <f aca="false">Engagements!K48+Engagements!K312+Engagements!K381+Engagements!K394+Engagements!K52+Engagements!K316+Engagements!K385+Engagements!K398</f>
        <v>136581.01</v>
      </c>
      <c r="L14" s="62" t="n">
        <f aca="false">Engagements!L48+Engagements!L312+Engagements!L381+Engagements!L394+Engagements!L52+Engagements!L316+Engagements!L385+Engagements!L398</f>
        <v>155481.24</v>
      </c>
      <c r="M14" s="62" t="n">
        <f aca="false">Engagements!M48+Engagements!M312+Engagements!M381+Engagements!M394+Engagements!M52+Engagements!M316+Engagements!M385+Engagements!M398</f>
        <v>112612.96</v>
      </c>
      <c r="N14" s="62" t="n">
        <f aca="false">Engagements!N48+Engagements!N312+Engagements!N381+Engagements!N394+Engagements!N52+Engagements!N316+Engagements!N385+Engagements!N398</f>
        <v>250538.441830582</v>
      </c>
      <c r="O14" s="62" t="n">
        <f aca="false">Engagements!O48+Engagements!O312+Engagements!O381+Engagements!O394+Engagements!O52+Engagements!O316+Engagements!O385+Engagements!O398</f>
        <v>241356.40469543</v>
      </c>
      <c r="P14" s="62" t="n">
        <f aca="false">Engagements!P48+Engagements!P312+Engagements!P381+Engagements!P394+Engagements!P52+Engagements!P316+Engagements!P385+Engagements!P398</f>
        <v>238732.965513958</v>
      </c>
      <c r="Q14" s="62" t="n">
        <f aca="false">Engagements!Q48+Engagements!Q312+Engagements!Q381+Engagements!Q394+Engagements!Q52+Engagements!Q316+Engagements!Q385+Engagements!Q398</f>
        <v>245291.563467638</v>
      </c>
      <c r="R14" s="62" t="n">
        <f aca="false">Engagements!R48+Engagements!R312+Engagements!R381+Engagements!R394+Engagements!R52+Engagements!R316+Engagements!R385+Engagements!R398</f>
        <v>218140.80570907</v>
      </c>
      <c r="S14" s="62" t="n">
        <f aca="false">Engagements!S48+Engagements!S312+Engagements!S381+Engagements!S394+Engagements!S52+Engagements!S316+Engagements!S385+Engagements!S398</f>
        <v>224957.705887478</v>
      </c>
      <c r="T14" s="62" t="n">
        <f aca="false">Engagements!T48+Engagements!T312+Engagements!T381+Engagements!T394+Engagements!T52+Engagements!T316+Engagements!T385+Engagements!T398</f>
        <v>227047.857048243</v>
      </c>
      <c r="U14" s="62" t="n">
        <f aca="false">Engagements!U48+Engagements!U312+Engagements!U381+Engagements!U394+Engagements!U52+Engagements!U316+Engagements!U385+Engagements!U398</f>
        <v>104212.169436318</v>
      </c>
      <c r="V14" s="62" t="n">
        <f aca="false">Engagements!V48+Engagements!V312+Engagements!V381+Engagements!V394+Engagements!V52+Engagements!V316+Engagements!V385+Engagements!V398</f>
        <v>79426.572381194</v>
      </c>
      <c r="W14" s="62" t="n">
        <f aca="false">Engagements!W48+Engagements!W312+Engagements!W381+Engagements!W394+Engagements!W52+Engagements!W316+Engagements!W385+Engagements!W398</f>
        <v>107592.023580199</v>
      </c>
      <c r="X14" s="62" t="n">
        <f aca="false">Engagements!X48+Engagements!X312+Engagements!X381+Engagements!X394+Engagements!X52+Engagements!X316+Engagements!X385+Engagements!X398</f>
        <v>104212.169436318</v>
      </c>
      <c r="Y14" s="62" t="n">
        <f aca="false">Engagements!Y48+Engagements!Y312+Engagements!Y381+Engagements!Y394+Engagements!Y52+Engagements!Y316+Engagements!Y385+Engagements!Y398</f>
        <v>91256.0618847761</v>
      </c>
      <c r="Z14" s="62" t="n">
        <f aca="false">Engagements!Z48+Engagements!Z312+Engagements!Z381+Engagements!Z394+Engagements!Z52+Engagements!Z316+Engagements!Z385+Engagements!Z398</f>
        <v>107592.023580199</v>
      </c>
      <c r="AA14" s="62" t="n">
        <f aca="false">Engagements!AA48+Engagements!AA312+Engagements!AA381+Engagements!AA394+Engagements!AA52+Engagements!AA316+Engagements!AA385+Engagements!AA398</f>
        <v>98015.7701725373</v>
      </c>
      <c r="AB14" s="62" t="n">
        <f aca="false">Engagements!AB48+Engagements!AB312+Engagements!AB381+Engagements!AB394+Engagements!AB52+Engagements!AB316+Engagements!AB385+Engagements!AB398</f>
        <v>102522.242364378</v>
      </c>
    </row>
    <row r="15" customFormat="false" ht="15" hidden="false" customHeight="false" outlineLevel="0" collapsed="false">
      <c r="A15" s="29" t="s">
        <v>949</v>
      </c>
      <c r="B15" s="60" t="s">
        <v>950</v>
      </c>
      <c r="C15" s="61" t="n">
        <f aca="false">SUM(E15:P15)</f>
        <v>362032.711187594</v>
      </c>
      <c r="D15" s="61" t="n">
        <f aca="false">SUM(Q15:AB15)</f>
        <v>324950.723340186</v>
      </c>
      <c r="E15" s="62" t="n">
        <f aca="false">E14*Client_Register!$E$7</f>
        <v>26259.1552</v>
      </c>
      <c r="F15" s="62" t="n">
        <f aca="false">F14*Client_Register!$E$7</f>
        <v>25942.9515</v>
      </c>
      <c r="G15" s="62" t="n">
        <f aca="false">G14*Client_Register!$E$7</f>
        <v>22630.5884</v>
      </c>
      <c r="H15" s="62" t="n">
        <f aca="false">H14*Client_Register!$E$7</f>
        <v>28279.4518</v>
      </c>
      <c r="I15" s="62" t="n">
        <f aca="false">I14*Client_Register!$E$7</f>
        <v>20442.5389</v>
      </c>
      <c r="J15" s="62" t="n">
        <f aca="false">J14*Client_Register!$E$7</f>
        <v>22770.4512</v>
      </c>
      <c r="K15" s="62" t="n">
        <f aca="false">K14*Client_Register!$E$7</f>
        <v>25950.3919</v>
      </c>
      <c r="L15" s="62" t="n">
        <f aca="false">L14*Client_Register!$E$7</f>
        <v>29541.4356</v>
      </c>
      <c r="M15" s="62" t="n">
        <f aca="false">M14*Client_Register!$E$7</f>
        <v>21396.4624</v>
      </c>
      <c r="N15" s="62" t="n">
        <f aca="false">N14*Client_Register!$E$7</f>
        <v>47602.3039478107</v>
      </c>
      <c r="O15" s="62" t="n">
        <f aca="false">O14*Client_Register!$E$7</f>
        <v>45857.7168921317</v>
      </c>
      <c r="P15" s="62" t="n">
        <f aca="false">P14*Client_Register!$E$7</f>
        <v>45359.2634476521</v>
      </c>
      <c r="Q15" s="62" t="n">
        <f aca="false">Q14*Client_Register!$E$7</f>
        <v>46605.3970588513</v>
      </c>
      <c r="R15" s="62" t="n">
        <f aca="false">R14*Client_Register!$E$7</f>
        <v>41446.7530847233</v>
      </c>
      <c r="S15" s="62" t="n">
        <f aca="false">S14*Client_Register!$E$7</f>
        <v>42741.9641186209</v>
      </c>
      <c r="T15" s="62" t="n">
        <f aca="false">T14*Client_Register!$E$7</f>
        <v>43139.0928391661</v>
      </c>
      <c r="U15" s="62" t="n">
        <f aca="false">U14*Client_Register!$E$7</f>
        <v>19800.3121929005</v>
      </c>
      <c r="V15" s="62" t="n">
        <f aca="false">V14*Client_Register!$E$7</f>
        <v>15091.0487524269</v>
      </c>
      <c r="W15" s="62" t="n">
        <f aca="false">W14*Client_Register!$E$7</f>
        <v>20442.4844802378</v>
      </c>
      <c r="X15" s="62" t="n">
        <f aca="false">X14*Client_Register!$E$7</f>
        <v>19800.3121929005</v>
      </c>
      <c r="Y15" s="62" t="n">
        <f aca="false">Y14*Client_Register!$E$7</f>
        <v>17338.6517581075</v>
      </c>
      <c r="Z15" s="62" t="n">
        <f aca="false">Z14*Client_Register!$E$7</f>
        <v>20442.4844802378</v>
      </c>
      <c r="AA15" s="62" t="n">
        <f aca="false">AA14*Client_Register!$E$7</f>
        <v>18622.9963327821</v>
      </c>
      <c r="AB15" s="62" t="n">
        <f aca="false">AB14*Client_Register!$E$7</f>
        <v>19479.2260492318</v>
      </c>
    </row>
    <row r="16" customFormat="false" ht="15" hidden="false" customHeight="false" outlineLevel="0" collapsed="false">
      <c r="A16" s="68" t="s">
        <v>951</v>
      </c>
      <c r="B16" s="69"/>
      <c r="C16" s="70" t="n">
        <f aca="false">SUM(E16:P16)</f>
        <v>2267468.03322757</v>
      </c>
      <c r="D16" s="70" t="n">
        <f aca="false">SUM(Q16:AB16)</f>
        <v>2035217.68828854</v>
      </c>
      <c r="E16" s="70" t="n">
        <f aca="false">E14+E15</f>
        <v>164465.2352</v>
      </c>
      <c r="F16" s="70" t="n">
        <f aca="false">F14+F15</f>
        <v>162484.8015</v>
      </c>
      <c r="G16" s="70" t="n">
        <f aca="false">G14+G15</f>
        <v>141738.9484</v>
      </c>
      <c r="H16" s="70" t="n">
        <f aca="false">H14+H15</f>
        <v>177118.6718</v>
      </c>
      <c r="I16" s="70" t="n">
        <f aca="false">I14+I15</f>
        <v>128034.8489</v>
      </c>
      <c r="J16" s="70" t="n">
        <f aca="false">J14+J15</f>
        <v>142614.9312</v>
      </c>
      <c r="K16" s="70" t="n">
        <f aca="false">K14+K15</f>
        <v>162531.4019</v>
      </c>
      <c r="L16" s="70" t="n">
        <f aca="false">L14+L15</f>
        <v>185022.6756</v>
      </c>
      <c r="M16" s="70" t="n">
        <f aca="false">M14+M15</f>
        <v>134009.4224</v>
      </c>
      <c r="N16" s="70" t="n">
        <f aca="false">N14+N15</f>
        <v>298140.745778393</v>
      </c>
      <c r="O16" s="70" t="n">
        <f aca="false">O14+O15</f>
        <v>287214.121587562</v>
      </c>
      <c r="P16" s="70" t="n">
        <f aca="false">P14+P15</f>
        <v>284092.22896161</v>
      </c>
      <c r="Q16" s="70" t="n">
        <f aca="false">Q14+Q15</f>
        <v>291896.96052649</v>
      </c>
      <c r="R16" s="70" t="n">
        <f aca="false">R14+R15</f>
        <v>259587.558793793</v>
      </c>
      <c r="S16" s="70" t="n">
        <f aca="false">S14+S15</f>
        <v>267699.670006099</v>
      </c>
      <c r="T16" s="70" t="n">
        <f aca="false">T14+T15</f>
        <v>270186.949887409</v>
      </c>
      <c r="U16" s="70" t="n">
        <f aca="false">U14+U15</f>
        <v>124012.481629219</v>
      </c>
      <c r="V16" s="70" t="n">
        <f aca="false">V14+V15</f>
        <v>94517.6211336209</v>
      </c>
      <c r="W16" s="70" t="n">
        <f aca="false">W14+W15</f>
        <v>128034.508060437</v>
      </c>
      <c r="X16" s="70" t="n">
        <f aca="false">X14+X15</f>
        <v>124012.481629219</v>
      </c>
      <c r="Y16" s="70" t="n">
        <f aca="false">Y14+Y15</f>
        <v>108594.713642884</v>
      </c>
      <c r="Z16" s="70" t="n">
        <f aca="false">Z14+Z15</f>
        <v>128034.508060437</v>
      </c>
      <c r="AA16" s="70" t="n">
        <f aca="false">AA14+AA15</f>
        <v>116638.766505319</v>
      </c>
      <c r="AB16" s="70" t="n">
        <f aca="false">AB14+AB15</f>
        <v>122001.46841361</v>
      </c>
    </row>
    <row r="17" customFormat="false" ht="15" hidden="false" customHeight="false" outlineLevel="0" collapsed="false">
      <c r="A17" s="29" t="s">
        <v>952</v>
      </c>
      <c r="B17" s="60" t="s">
        <v>953</v>
      </c>
      <c r="C17" s="61" t="n">
        <f aca="false">SUM(E17:P17)</f>
        <v>2116424.97347217</v>
      </c>
      <c r="D17" s="61" t="n">
        <f aca="false">SUM(Q17:AB17)</f>
        <v>2282596.12637766</v>
      </c>
      <c r="E17" s="62" t="n">
        <f aca="false">IF(E$5="A",Inputs_Actuals!E104,Client_Register!$J$7+E16-(E16*MIN(1,Client_Register!$I$7/30)+0*MIN(1,MAX(0,(Client_Register!$I$7-30)/30))+0*MIN(1,MAX(0,(Client_Register!$I$7-60)/30))))</f>
        <v>183500.54</v>
      </c>
      <c r="F17" s="62" t="n">
        <f aca="false">IF(F$5="A",Inputs_Actuals!F104,E18+F16-(F16*MIN(1,Client_Register!$I$7/30)+E16*MIN(1,MAX(0,(Client_Register!$I$7-30)/30))+0*MIN(1,MAX(0,(Client_Register!$I$7-60)/30))))</f>
        <v>201642.93</v>
      </c>
      <c r="G17" s="62" t="n">
        <f aca="false">IF(G$5="A",Inputs_Actuals!G104,F18+G16-(G16*MIN(1,Client_Register!$I$7/30)+F16*MIN(1,MAX(0,(Client_Register!$I$7-30)/30))+E16*MIN(1,MAX(0,(Client_Register!$I$7-60)/30))))</f>
        <v>130135.16</v>
      </c>
      <c r="H17" s="62" t="n">
        <f aca="false">IF(H$5="A",Inputs_Actuals!H104,G18+H16-(H16*MIN(1,Client_Register!$I$7/30)+G16*MIN(1,MAX(0,(Client_Register!$I$7-30)/30))+F16*MIN(1,MAX(0,(Client_Register!$I$7-60)/30))))</f>
        <v>161375.56</v>
      </c>
      <c r="I17" s="62" t="n">
        <f aca="false">IF(I$5="A",Inputs_Actuals!I104,H18+I16-(I16*MIN(1,Client_Register!$I$7/30)+H16*MIN(1,MAX(0,(Client_Register!$I$7-30)/30))+G16*MIN(1,MAX(0,(Client_Register!$I$7-60)/30))))</f>
        <v>164694.68</v>
      </c>
      <c r="J17" s="62" t="n">
        <f aca="false">IF(J$5="A",Inputs_Actuals!J104,I18+J16-(J16*MIN(1,Client_Register!$I$7/30)+I16*MIN(1,MAX(0,(Client_Register!$I$7-30)/30))+H16*MIN(1,MAX(0,(Client_Register!$I$7-60)/30))))</f>
        <v>134511</v>
      </c>
      <c r="K17" s="62" t="n">
        <f aca="false">IF(K$5="A",Inputs_Actuals!K104,J18+K16-(K16*MIN(1,Client_Register!$I$7/30)+J16*MIN(1,MAX(0,(Client_Register!$I$7-30)/30))+I16*MIN(1,MAX(0,(Client_Register!$I$7-60)/30))))</f>
        <v>151678.17</v>
      </c>
      <c r="L17" s="62" t="n">
        <f aca="false">IF(L$5="A",Inputs_Actuals!L104,K18+L16-(L16*MIN(1,Client_Register!$I$7/30)+K16*MIN(1,MAX(0,(Client_Register!$I$7-30)/30))+J16*MIN(1,MAX(0,(Client_Register!$I$7-60)/30))))</f>
        <v>153019.17</v>
      </c>
      <c r="M17" s="62" t="n">
        <f aca="false">IF(M$5="A",Inputs_Actuals!M104,L18+M16-(M16*MIN(1,Client_Register!$I$7/30)+L16*MIN(1,MAX(0,(Client_Register!$I$7-30)/30))+K16*MIN(1,MAX(0,(Client_Register!$I$7-60)/30))))</f>
        <v>167599.1967</v>
      </c>
      <c r="N17" s="62" t="n">
        <f aca="false">IF(N$5="A",Inputs_Actuals!N104,M18+N16-(N16*MIN(1,Client_Register!$I$7/30)+M16*MIN(1,MAX(0,(Client_Register!$I$7-30)/30))+L16*MIN(1,MAX(0,(Client_Register!$I$7-60)/30))))</f>
        <v>159516.049</v>
      </c>
      <c r="O17" s="62" t="n">
        <f aca="false">IF(O$5="A",Inputs_Actuals!O104,N18+O16-(O16*MIN(1,Client_Register!$I$7/30)+N16*MIN(1,MAX(0,(Client_Register!$I$7-30)/30))+M16*MIN(1,MAX(0,(Client_Register!$I$7-60)/30))))</f>
        <v>216075.084089197</v>
      </c>
      <c r="P17" s="62" t="n">
        <f aca="false">IF(P$5="A",Inputs_Actuals!P104,O18+P16-(P16*MIN(1,Client_Register!$I$7/30)+O16*MIN(1,MAX(0,(Client_Register!$I$7-30)/30))+N16*MIN(1,MAX(0,(Client_Register!$I$7-60)/30))))</f>
        <v>292677.433682978</v>
      </c>
      <c r="Q17" s="62" t="n">
        <f aca="false">IF(Q$5="A",Inputs_Actuals!Q104,P18+Q16-(Q16*MIN(1,Client_Register!$I$7/30)+P16*MIN(1,MAX(0,(Client_Register!$I$7-30)/30))+O16*MIN(1,MAX(0,(Client_Register!$I$7-60)/30))))</f>
        <v>285653.175274586</v>
      </c>
      <c r="R17" s="62" t="n">
        <f aca="false">IF(R$5="A",Inputs_Actuals!R104,Q18+R16-(R16*MIN(1,Client_Register!$I$7/30)+Q16*MIN(1,MAX(0,(Client_Register!$I$7-30)/30))+P16*MIN(1,MAX(0,(Client_Register!$I$7-60)/30))))</f>
        <v>287994.59474405</v>
      </c>
      <c r="S17" s="62" t="n">
        <f aca="false">IF(S$5="A",Inputs_Actuals!S104,R18+S16-(S16*MIN(1,Client_Register!$I$7/30)+R16*MIN(1,MAX(0,(Client_Register!$I$7-30)/30))+Q16*MIN(1,MAX(0,(Client_Register!$I$7-60)/30))))</f>
        <v>275742.259660141</v>
      </c>
      <c r="T17" s="62" t="n">
        <f aca="false">IF(T$5="A",Inputs_Actuals!T104,S18+T16-(T16*MIN(1,Client_Register!$I$7/30)+S16*MIN(1,MAX(0,(Client_Register!$I$7-30)/30))+R16*MIN(1,MAX(0,(Client_Register!$I$7-60)/30))))</f>
        <v>263643.614399946</v>
      </c>
      <c r="U17" s="62" t="n">
        <f aca="false">IF(U$5="A",Inputs_Actuals!U104,T18+U16-(U16*MIN(1,Client_Register!$I$7/30)+T16*MIN(1,MAX(0,(Client_Register!$I$7-30)/30))+S16*MIN(1,MAX(0,(Client_Register!$I$7-60)/30))))</f>
        <v>268943.309946754</v>
      </c>
      <c r="V17" s="62" t="n">
        <f aca="false">IF(V$5="A",Inputs_Actuals!V104,U18+V16-(V16*MIN(1,Client_Register!$I$7/30)+U16*MIN(1,MAX(0,(Client_Register!$I$7-30)/30))+T16*MIN(1,MAX(0,(Client_Register!$I$7-60)/30))))</f>
        <v>197099.715758314</v>
      </c>
      <c r="W17" s="62" t="n">
        <f aca="false">IF(W$5="A",Inputs_Actuals!W104,V18+W16-(W16*MIN(1,Client_Register!$I$7/30)+V16*MIN(1,MAX(0,(Client_Register!$I$7-30)/30))+U16*MIN(1,MAX(0,(Client_Register!$I$7-60)/30))))</f>
        <v>109265.05138142</v>
      </c>
      <c r="X17" s="62" t="n">
        <f aca="false">IF(X$5="A",Inputs_Actuals!X104,W18+X16-(X16*MIN(1,Client_Register!$I$7/30)+W16*MIN(1,MAX(0,(Client_Register!$I$7-30)/30))+V16*MIN(1,MAX(0,(Client_Register!$I$7-60)/30))))</f>
        <v>111276.064597029</v>
      </c>
      <c r="Y17" s="62" t="n">
        <f aca="false">IF(Y$5="A",Inputs_Actuals!Y104,X18+Y16-(Y16*MIN(1,Client_Register!$I$7/30)+X16*MIN(1,MAX(0,(Client_Register!$I$7-30)/30))+W16*MIN(1,MAX(0,(Client_Register!$I$7-60)/30))))</f>
        <v>126023.494844828</v>
      </c>
      <c r="Z17" s="62" t="n">
        <f aca="false">IF(Z$5="A",Inputs_Actuals!Z104,Y18+Z16-(Z16*MIN(1,Client_Register!$I$7/30)+Y16*MIN(1,MAX(0,(Client_Register!$I$7-30)/30))+X16*MIN(1,MAX(0,(Client_Register!$I$7-60)/30))))</f>
        <v>116303.597636051</v>
      </c>
      <c r="AA17" s="62" t="n">
        <f aca="false">IF(AA$5="A",Inputs_Actuals!AA104,Z18+AA16-(AA16*MIN(1,Client_Register!$I$7/30)+Z16*MIN(1,MAX(0,(Client_Register!$I$7-30)/30))+Y16*MIN(1,MAX(0,(Client_Register!$I$7-60)/30))))</f>
        <v>118314.61085166</v>
      </c>
      <c r="AB17" s="62" t="n">
        <f aca="false">IF(AB$5="A",Inputs_Actuals!AB104,AA18+AB16-(AB16*MIN(1,Client_Register!$I$7/30)+AA16*MIN(1,MAX(0,(Client_Register!$I$7-30)/30))+Z16*MIN(1,MAX(0,(Client_Register!$I$7-60)/30))))</f>
        <v>122336.637282878</v>
      </c>
    </row>
    <row r="18" customFormat="false" ht="15" hidden="false" customHeight="false" outlineLevel="0" collapsed="false">
      <c r="A18" s="68" t="s">
        <v>954</v>
      </c>
      <c r="B18" s="69" t="s">
        <v>955</v>
      </c>
      <c r="C18" s="70" t="n">
        <f aca="false">P18</f>
        <v>427699.289755391</v>
      </c>
      <c r="D18" s="70" t="n">
        <f aca="false">AB18</f>
        <v>180320.85166627</v>
      </c>
      <c r="E18" s="74" t="n">
        <f aca="false">Client_Register!$J$7+E16-E17</f>
        <v>257620.9252</v>
      </c>
      <c r="F18" s="70" t="n">
        <f aca="false">E18+F16-F17</f>
        <v>218462.7967</v>
      </c>
      <c r="G18" s="70" t="n">
        <f aca="false">F18+G16-G17</f>
        <v>230066.5851</v>
      </c>
      <c r="H18" s="70" t="n">
        <f aca="false">G18+H16-H17</f>
        <v>245809.6969</v>
      </c>
      <c r="I18" s="70" t="n">
        <f aca="false">H18+I16-I17</f>
        <v>209149.8658</v>
      </c>
      <c r="J18" s="70" t="n">
        <f aca="false">I18+J16-J17</f>
        <v>217253.797</v>
      </c>
      <c r="K18" s="70" t="n">
        <f aca="false">J18+K16-K17</f>
        <v>228107.0289</v>
      </c>
      <c r="L18" s="70" t="n">
        <f aca="false">K18+L16-L17</f>
        <v>260110.5345</v>
      </c>
      <c r="M18" s="70" t="n">
        <f aca="false">L18+M16-M17</f>
        <v>226520.7602</v>
      </c>
      <c r="N18" s="70" t="n">
        <f aca="false">M18+N16-N17</f>
        <v>365145.456978393</v>
      </c>
      <c r="O18" s="70" t="n">
        <f aca="false">N18+O16-O17</f>
        <v>436284.494476759</v>
      </c>
      <c r="P18" s="70" t="n">
        <f aca="false">O18+P16-P17</f>
        <v>427699.289755391</v>
      </c>
      <c r="Q18" s="70" t="n">
        <f aca="false">P18+Q16-Q17</f>
        <v>433943.075007295</v>
      </c>
      <c r="R18" s="70" t="n">
        <f aca="false">Q18+R16-R17</f>
        <v>405536.039057038</v>
      </c>
      <c r="S18" s="70" t="n">
        <f aca="false">R18+S16-S17</f>
        <v>397493.449402996</v>
      </c>
      <c r="T18" s="70" t="n">
        <f aca="false">S18+T16-T17</f>
        <v>404036.784890459</v>
      </c>
      <c r="U18" s="70" t="n">
        <f aca="false">T18+U16-U17</f>
        <v>259105.956572923</v>
      </c>
      <c r="V18" s="70" t="n">
        <f aca="false">U18+V16-V17</f>
        <v>156523.86194823</v>
      </c>
      <c r="W18" s="70" t="n">
        <f aca="false">V18+W16-W17</f>
        <v>175293.318627247</v>
      </c>
      <c r="X18" s="70" t="n">
        <f aca="false">W18+X16-X17</f>
        <v>188029.735659437</v>
      </c>
      <c r="Y18" s="70" t="n">
        <f aca="false">X18+Y16-Y17</f>
        <v>170600.954457493</v>
      </c>
      <c r="Z18" s="70" t="n">
        <f aca="false">Y18+Z16-Z17</f>
        <v>182331.864881879</v>
      </c>
      <c r="AA18" s="70" t="n">
        <f aca="false">Z18+AA16-AA17</f>
        <v>180656.020535538</v>
      </c>
      <c r="AB18" s="70" t="n">
        <f aca="false">AA18+AB16-AB17</f>
        <v>180320.85166627</v>
      </c>
    </row>
    <row r="19" customFormat="false" ht="15" hidden="false" customHeight="false" outlineLevel="0" collapsed="false">
      <c r="A19" s="29" t="s">
        <v>956</v>
      </c>
      <c r="B19" s="60"/>
      <c r="C19" s="66" t="n">
        <f aca="false">P19</f>
        <v>45.2567324955117</v>
      </c>
      <c r="D19" s="66" t="n">
        <f aca="false">AB19</f>
        <v>45.2431444241316</v>
      </c>
      <c r="E19" s="67" t="n">
        <f aca="false">IFERROR(E18/SUM(E16:E16)*SUM(Assumptions!E$191:E$191),0)</f>
        <v>48.558886450916</v>
      </c>
      <c r="F19" s="67" t="n">
        <f aca="false">IFERROR(F18/SUM(E16:F16)*SUM(Assumptions!E$191:F$191),0)</f>
        <v>39.4228584140728</v>
      </c>
      <c r="G19" s="67" t="n">
        <f aca="false">IFERROR(G18/SUM(E16:G16)*SUM(Assumptions!E$191:G$191),0)</f>
        <v>44.1785348434893</v>
      </c>
      <c r="H19" s="67" t="n">
        <f aca="false">IFERROR(H18/SUM(F16:H16)*SUM(Assumptions!F$191:H$191),0)</f>
        <v>45.4501037885562</v>
      </c>
      <c r="I19" s="67" t="n">
        <f aca="false">IFERROR(I18/SUM(G16:I16)*SUM(Assumptions!G$191:I$191),0)</f>
        <v>43.05686263264</v>
      </c>
      <c r="J19" s="67" t="n">
        <f aca="false">IFERROR(J18/SUM(H16:J16)*SUM(Assumptions!H$191:J$191),0)</f>
        <v>44.1524976650549</v>
      </c>
      <c r="K19" s="67" t="n">
        <f aca="false">IFERROR(K18/SUM(I16:K16)*SUM(Assumptions!I$191:K$191),0)</f>
        <v>48.4458871502872</v>
      </c>
      <c r="L19" s="67" t="n">
        <f aca="false">IFERROR(L18/SUM(J16:L16)*SUM(Assumptions!J$191:L$191),0)</f>
        <v>48.8202410786156</v>
      </c>
      <c r="M19" s="67" t="n">
        <f aca="false">IFERROR(M18/SUM(K16:M16)*SUM(Assumptions!K$191:M$191),0)</f>
        <v>43.2755180629918</v>
      </c>
      <c r="N19" s="67" t="n">
        <f aca="false">IFERROR(N18/SUM(L16:N16)*SUM(Assumptions!L$191:N$191),0)</f>
        <v>54.4310761250449</v>
      </c>
      <c r="O19" s="67" t="n">
        <f aca="false">IFERROR(O18/SUM(M16:O16)*SUM(Assumptions!M$191:O$191),0)</f>
        <v>55.1902416650429</v>
      </c>
      <c r="P19" s="67" t="n">
        <f aca="false">IFERROR(P18/SUM(N16:P16)*SUM(Assumptions!N$191:P$191),0)</f>
        <v>45.2567324955117</v>
      </c>
      <c r="Q19" s="67" t="n">
        <f aca="false">IFERROR(Q18/SUM(O16:Q16)*SUM(Assumptions!O$191:Q$191),0)</f>
        <v>46.249547920434</v>
      </c>
      <c r="R19" s="67" t="n">
        <f aca="false">IFERROR(R18/SUM(P16:R16)*SUM(Assumptions!P$191:R$191),0)</f>
        <v>43.6803005710497</v>
      </c>
      <c r="S19" s="67" t="n">
        <f aca="false">IFERROR(S18/SUM(Q16:S16)*SUM(Assumptions!Q$191:S$191),0)</f>
        <v>43.6707774788562</v>
      </c>
      <c r="T19" s="67" t="n">
        <f aca="false">IFERROR(T18/SUM(R16:T16)*SUM(Assumptions!R$191:T$191),0)</f>
        <v>45.0914585277762</v>
      </c>
      <c r="U19" s="67" t="n">
        <f aca="false">IFERROR(U18/SUM(S16:U16)*SUM(Assumptions!S$191:U$191),0)</f>
        <v>36.0141718728265</v>
      </c>
      <c r="V19" s="67" t="n">
        <f aca="false">IFERROR(V18/SUM(T16:V16)*SUM(Assumptions!T$191:V$191),0)</f>
        <v>29.1450264729814</v>
      </c>
      <c r="W19" s="67" t="n">
        <f aca="false">IFERROR(W18/SUM(U16:W16)*SUM(Assumptions!U$191:W$191),0)</f>
        <v>46.5338491295938</v>
      </c>
      <c r="X19" s="67" t="n">
        <f aca="false">IFERROR(X18/SUM(V16:X16)*SUM(Assumptions!V$191:X$191),0)</f>
        <v>49.9148936170213</v>
      </c>
      <c r="Y19" s="67" t="n">
        <f aca="false">IFERROR(Y18/SUM(W16:Y16)*SUM(Assumptions!W$191:Y$191),0)</f>
        <v>43.5204460966543</v>
      </c>
      <c r="Z19" s="67" t="n">
        <f aca="false">IFERROR(Z18/SUM(X16:Z16)*SUM(Assumptions!X$191:Z$191),0)</f>
        <v>46.5130111524164</v>
      </c>
      <c r="AA19" s="67" t="n">
        <f aca="false">IFERROR(AA18/SUM(Y16:AA16)*SUM(Assumptions!Y$191:AA$191),0)</f>
        <v>46.5360531309298</v>
      </c>
      <c r="AB19" s="67" t="n">
        <f aca="false">IFERROR(AB18/SUM(Z16:AB16)*SUM(Assumptions!Z$191:AB$191),0)</f>
        <v>45.2431444241316</v>
      </c>
    </row>
    <row r="20" customFormat="false" ht="15" hidden="false" customHeight="false" outlineLevel="0" collapsed="false">
      <c r="A20" s="29" t="s">
        <v>957</v>
      </c>
      <c r="B20" s="60" t="s">
        <v>51</v>
      </c>
      <c r="C20" s="61" t="n">
        <f aca="false">P20</f>
        <v>240693.756918682</v>
      </c>
      <c r="D20" s="61" t="n">
        <f aca="false">AB20</f>
        <v>110971.87772408</v>
      </c>
      <c r="E20" s="62" t="n">
        <f aca="false">Engagements!E53+Engagements!E317+Engagements!E386+Engagements!E399</f>
        <v>136541.85</v>
      </c>
      <c r="F20" s="62" t="n">
        <f aca="false">Engagements!F53+Engagements!F317+Engagements!F386+Engagements!F399</f>
        <v>119108.36</v>
      </c>
      <c r="G20" s="62" t="n">
        <f aca="false">Engagements!G53+Engagements!G317+Engagements!G386+Engagements!G399</f>
        <v>148839.22</v>
      </c>
      <c r="H20" s="62" t="n">
        <f aca="false">Engagements!H53+Engagements!H317+Engagements!H386+Engagements!H399</f>
        <v>107592.31</v>
      </c>
      <c r="I20" s="62" t="n">
        <f aca="false">Engagements!I53+Engagements!I317+Engagements!I386+Engagements!I399</f>
        <v>119844.48</v>
      </c>
      <c r="J20" s="62" t="n">
        <f aca="false">Engagements!J53+Engagements!J317+Engagements!J386+Engagements!J399</f>
        <v>136581.01</v>
      </c>
      <c r="K20" s="62" t="n">
        <f aca="false">Engagements!K53+Engagements!K317+Engagements!K386+Engagements!K399</f>
        <v>155481.24</v>
      </c>
      <c r="L20" s="62" t="n">
        <f aca="false">Engagements!L53+Engagements!L317+Engagements!L386+Engagements!L399</f>
        <v>112612.96</v>
      </c>
      <c r="M20" s="62" t="n">
        <f aca="false">Engagements!M53+Engagements!M317+Engagements!M386+Engagements!M399</f>
        <v>249358.090955783</v>
      </c>
      <c r="N20" s="62" t="n">
        <f aca="false">Engagements!N53+Engagements!N317+Engagements!N386+Engagements!N399</f>
        <v>239038.961878416</v>
      </c>
      <c r="O20" s="62" t="n">
        <f aca="false">Engagements!O53+Engagements!O317+Engagements!O386+Engagements!O399</f>
        <v>235290.790449753</v>
      </c>
      <c r="P20" s="62" t="n">
        <f aca="false">Engagements!P53+Engagements!P317+Engagements!P386+Engagements!P399</f>
        <v>240693.756918682</v>
      </c>
      <c r="Q20" s="62" t="n">
        <f aca="false">Engagements!Q53+Engagements!Q317+Engagements!Q386+Engagements!Q399</f>
        <v>210460.097895266</v>
      </c>
      <c r="R20" s="62" t="n">
        <f aca="false">Engagements!R53+Engagements!R317+Engagements!R386+Engagements!R399</f>
        <v>214097.7561443</v>
      </c>
      <c r="S20" s="62" t="n">
        <f aca="false">Engagements!S53+Engagements!S317+Engagements!S386+Engagements!S399</f>
        <v>227047.857048243</v>
      </c>
      <c r="T20" s="62" t="n">
        <f aca="false">Engagements!T53+Engagements!T317+Engagements!T386+Engagements!T399</f>
        <v>104212.169436318</v>
      </c>
      <c r="U20" s="62" t="n">
        <f aca="false">Engagements!U53+Engagements!U317+Engagements!U386+Engagements!U399</f>
        <v>79426.572381194</v>
      </c>
      <c r="V20" s="62" t="n">
        <f aca="false">Engagements!V53+Engagements!V317+Engagements!V386+Engagements!V399</f>
        <v>107592.023580199</v>
      </c>
      <c r="W20" s="62" t="n">
        <f aca="false">Engagements!W53+Engagements!W317+Engagements!W386+Engagements!W399</f>
        <v>104212.169436318</v>
      </c>
      <c r="X20" s="62" t="n">
        <f aca="false">Engagements!X53+Engagements!X317+Engagements!X386+Engagements!X399</f>
        <v>91256.0618847761</v>
      </c>
      <c r="Y20" s="62" t="n">
        <f aca="false">Engagements!Y53+Engagements!Y317+Engagements!Y386+Engagements!Y399</f>
        <v>107592.023580199</v>
      </c>
      <c r="Z20" s="62" t="n">
        <f aca="false">Engagements!Z53+Engagements!Z317+Engagements!Z386+Engagements!Z399</f>
        <v>98015.7701725373</v>
      </c>
      <c r="AA20" s="62" t="n">
        <f aca="false">Engagements!AA53+Engagements!AA317+Engagements!AA386+Engagements!AA399</f>
        <v>102522.242364378</v>
      </c>
      <c r="AB20" s="62" t="n">
        <f aca="false">Engagements!AB53+Engagements!AB317+Engagements!AB386+Engagements!AB399</f>
        <v>110971.87772408</v>
      </c>
    </row>
    <row r="22" customFormat="false" ht="15" hidden="false" customHeight="false" outlineLevel="0" collapsed="false">
      <c r="A22" s="23" t="s">
        <v>958</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row>
    <row r="23" customFormat="false" ht="15" hidden="false" customHeight="false" outlineLevel="0" collapsed="false">
      <c r="A23" s="29" t="s">
        <v>679</v>
      </c>
      <c r="B23" s="60" t="s">
        <v>51</v>
      </c>
      <c r="C23" s="61" t="n">
        <f aca="false">SUM(E23:P23)</f>
        <v>481564.1</v>
      </c>
      <c r="D23" s="61" t="n">
        <f aca="false">SUM(Q23:AB23)</f>
        <v>320000</v>
      </c>
      <c r="E23" s="62" t="n">
        <f aca="false">Engagements!E64+Engagements!E281+Engagements!E410</f>
        <v>41567.43</v>
      </c>
      <c r="F23" s="62" t="n">
        <f aca="false">Engagements!F64+Engagements!F281+Engagements!F410</f>
        <v>37171.67</v>
      </c>
      <c r="G23" s="62" t="n">
        <f aca="false">Engagements!G64+Engagements!G281+Engagements!G410</f>
        <v>34584.76</v>
      </c>
      <c r="H23" s="62" t="n">
        <f aca="false">Engagements!H64+Engagements!H281+Engagements!H410</f>
        <v>34810.69</v>
      </c>
      <c r="I23" s="62" t="n">
        <f aca="false">Engagements!I64+Engagements!I281+Engagements!I410</f>
        <v>28368.01</v>
      </c>
      <c r="J23" s="62" t="n">
        <f aca="false">Engagements!J64+Engagements!J281+Engagements!J410</f>
        <v>51461.54</v>
      </c>
      <c r="K23" s="62" t="n">
        <f aca="false">Engagements!K64+Engagements!K281+Engagements!K410</f>
        <v>55723.08</v>
      </c>
      <c r="L23" s="62" t="n">
        <f aca="false">Engagements!L64+Engagements!L281+Engagements!L410</f>
        <v>73479.57</v>
      </c>
      <c r="M23" s="62" t="n">
        <f aca="false">Engagements!M64+Engagements!M281+Engagements!M410</f>
        <v>90752.8730996709</v>
      </c>
      <c r="N23" s="62" t="n">
        <f aca="false">Engagements!N64+Engagements!N281+Engagements!N410</f>
        <v>33644.4769003289</v>
      </c>
      <c r="O23" s="62" t="n">
        <f aca="false">Engagements!O64+Engagements!O281+Engagements!O410</f>
        <v>0</v>
      </c>
      <c r="P23" s="62" t="n">
        <f aca="false">Engagements!P64+Engagements!P281+Engagements!P410</f>
        <v>0</v>
      </c>
      <c r="Q23" s="62" t="n">
        <f aca="false">Engagements!Q64+Engagements!Q281+Engagements!Q410</f>
        <v>32883.750802826</v>
      </c>
      <c r="R23" s="62" t="n">
        <f aca="false">Engagements!R64+Engagements!R281+Engagements!R410</f>
        <v>33911.3680154143</v>
      </c>
      <c r="S23" s="62" t="n">
        <f aca="false">Engagements!S64+Engagements!S281+Engagements!S410</f>
        <v>36377.6493256262</v>
      </c>
      <c r="T23" s="62" t="n">
        <f aca="false">Engagements!T64+Engagements!T281+Engagements!T410</f>
        <v>38021.8368657675</v>
      </c>
      <c r="U23" s="62" t="n">
        <f aca="false">Engagements!U64+Engagements!U281+Engagements!U410</f>
        <v>28978.8053949904</v>
      </c>
      <c r="V23" s="62" t="n">
        <f aca="false">Engagements!V64+Engagements!V281+Engagements!V410</f>
        <v>39254.9775208735</v>
      </c>
      <c r="W23" s="62" t="n">
        <f aca="false">Engagements!W64+Engagements!W281+Engagements!W410</f>
        <v>38021.8368657675</v>
      </c>
      <c r="X23" s="62" t="n">
        <f aca="false">Engagements!X64+Engagements!X281+Engagements!X410</f>
        <v>33294.7976878612</v>
      </c>
      <c r="Y23" s="62" t="n">
        <f aca="false">Engagements!Y64+Engagements!Y281+Engagements!Y410</f>
        <v>39254.9775208735</v>
      </c>
      <c r="Z23" s="62" t="n">
        <f aca="false">Engagements!Z64+Engagements!Z281+Engagements!Z410</f>
        <v>0</v>
      </c>
      <c r="AA23" s="62" t="n">
        <f aca="false">Engagements!AA64+Engagements!AA281+Engagements!AA410</f>
        <v>0</v>
      </c>
      <c r="AB23" s="62" t="n">
        <f aca="false">Engagements!AB64+Engagements!AB281+Engagements!AB410</f>
        <v>0</v>
      </c>
    </row>
    <row r="24" customFormat="false" ht="15" hidden="false" customHeight="false" outlineLevel="0" collapsed="false">
      <c r="A24" s="29" t="s">
        <v>498</v>
      </c>
      <c r="B24" s="60" t="s">
        <v>51</v>
      </c>
      <c r="C24" s="61" t="n">
        <f aca="false">SUM(E24:P24)</f>
        <v>45286.44</v>
      </c>
      <c r="D24" s="61" t="n">
        <f aca="false">SUM(Q24:AB24)</f>
        <v>31147.2</v>
      </c>
      <c r="E24" s="62" t="n">
        <f aca="false">Engagements!E68+Engagements!E414</f>
        <v>3226.3</v>
      </c>
      <c r="F24" s="62" t="n">
        <f aca="false">Engagements!F68+Engagements!F414</f>
        <v>5065.99</v>
      </c>
      <c r="G24" s="62" t="n">
        <f aca="false">Engagements!G68+Engagements!G414</f>
        <v>3593.13</v>
      </c>
      <c r="H24" s="62" t="n">
        <f aca="false">Engagements!H68+Engagements!H414</f>
        <v>4828.71</v>
      </c>
      <c r="I24" s="62" t="n">
        <f aca="false">Engagements!I68+Engagements!I414</f>
        <v>4819.69</v>
      </c>
      <c r="J24" s="62" t="n">
        <f aca="false">Engagements!J68+Engagements!J414</f>
        <v>5835.95</v>
      </c>
      <c r="K24" s="62" t="n">
        <f aca="false">Engagements!K68+Engagements!K414</f>
        <v>7027.99</v>
      </c>
      <c r="L24" s="62" t="n">
        <f aca="false">Engagements!L68+Engagements!L414</f>
        <v>4689.48</v>
      </c>
      <c r="M24" s="62" t="n">
        <f aca="false">Engagements!M68+Engagements!M414</f>
        <v>6199.2</v>
      </c>
      <c r="N24" s="62" t="n">
        <f aca="false">Engagements!N68+Engagements!N414</f>
        <v>0</v>
      </c>
      <c r="O24" s="62" t="n">
        <f aca="false">Engagements!O68+Engagements!O414</f>
        <v>0</v>
      </c>
      <c r="P24" s="62" t="n">
        <f aca="false">Engagements!P68+Engagements!P414</f>
        <v>0</v>
      </c>
      <c r="Q24" s="62" t="n">
        <f aca="false">Engagements!Q68+Engagements!Q414</f>
        <v>3200.73988439306</v>
      </c>
      <c r="R24" s="62" t="n">
        <f aca="false">Engagements!R68+Engagements!R414</f>
        <v>3300.76300578035</v>
      </c>
      <c r="S24" s="62" t="n">
        <f aca="false">Engagements!S68+Engagements!S414</f>
        <v>3540.81849710983</v>
      </c>
      <c r="T24" s="62" t="n">
        <f aca="false">Engagements!T68+Engagements!T414</f>
        <v>3700.85549132948</v>
      </c>
      <c r="U24" s="62" t="n">
        <f aca="false">Engagements!U68+Engagements!U414</f>
        <v>2820.65202312139</v>
      </c>
      <c r="V24" s="62" t="n">
        <f aca="false">Engagements!V68+Engagements!V414</f>
        <v>3820.88323699422</v>
      </c>
      <c r="W24" s="62" t="n">
        <f aca="false">Engagements!W68+Engagements!W414</f>
        <v>3700.85549132948</v>
      </c>
      <c r="X24" s="62" t="n">
        <f aca="false">Engagements!X68+Engagements!X414</f>
        <v>3240.74913294798</v>
      </c>
      <c r="Y24" s="62" t="n">
        <f aca="false">Engagements!Y68+Engagements!Y414</f>
        <v>3820.88323699422</v>
      </c>
      <c r="Z24" s="62" t="n">
        <f aca="false">Engagements!Z68+Engagements!Z414</f>
        <v>0</v>
      </c>
      <c r="AA24" s="62" t="n">
        <f aca="false">Engagements!AA68+Engagements!AA414</f>
        <v>0</v>
      </c>
      <c r="AB24" s="62" t="n">
        <f aca="false">Engagements!AB68+Engagements!AB414</f>
        <v>0</v>
      </c>
    </row>
    <row r="25" customFormat="false" ht="15" hidden="false" customHeight="false" outlineLevel="0" collapsed="false">
      <c r="A25" s="68" t="s">
        <v>351</v>
      </c>
      <c r="B25" s="69"/>
      <c r="C25" s="70" t="n">
        <f aca="false">SUM(E25:P25)</f>
        <v>526850.54</v>
      </c>
      <c r="D25" s="70" t="n">
        <f aca="false">SUM(Q25:AB25)</f>
        <v>351147.2</v>
      </c>
      <c r="E25" s="70" t="n">
        <f aca="false">E23+E24</f>
        <v>44793.73</v>
      </c>
      <c r="F25" s="70" t="n">
        <f aca="false">F23+F24</f>
        <v>42237.66</v>
      </c>
      <c r="G25" s="70" t="n">
        <f aca="false">G23+G24</f>
        <v>38177.89</v>
      </c>
      <c r="H25" s="70" t="n">
        <f aca="false">H23+H24</f>
        <v>39639.4</v>
      </c>
      <c r="I25" s="70" t="n">
        <f aca="false">I23+I24</f>
        <v>33187.7</v>
      </c>
      <c r="J25" s="70" t="n">
        <f aca="false">J23+J24</f>
        <v>57297.49</v>
      </c>
      <c r="K25" s="70" t="n">
        <f aca="false">K23+K24</f>
        <v>62751.07</v>
      </c>
      <c r="L25" s="70" t="n">
        <f aca="false">L23+L24</f>
        <v>78169.05</v>
      </c>
      <c r="M25" s="70" t="n">
        <f aca="false">M23+M24</f>
        <v>96952.0730996709</v>
      </c>
      <c r="N25" s="70" t="n">
        <f aca="false">N23+N24</f>
        <v>33644.4769003289</v>
      </c>
      <c r="O25" s="70" t="n">
        <f aca="false">O23+O24</f>
        <v>0</v>
      </c>
      <c r="P25" s="70" t="n">
        <f aca="false">P23+P24</f>
        <v>0</v>
      </c>
      <c r="Q25" s="70" t="n">
        <f aca="false">Q23+Q24</f>
        <v>36084.490687219</v>
      </c>
      <c r="R25" s="70" t="n">
        <f aca="false">R23+R24</f>
        <v>37212.1310211946</v>
      </c>
      <c r="S25" s="70" t="n">
        <f aca="false">S23+S24</f>
        <v>39918.467822736</v>
      </c>
      <c r="T25" s="70" t="n">
        <f aca="false">T23+T24</f>
        <v>41722.692357097</v>
      </c>
      <c r="U25" s="70" t="n">
        <f aca="false">U23+U24</f>
        <v>31799.4574181118</v>
      </c>
      <c r="V25" s="70" t="n">
        <f aca="false">V23+V24</f>
        <v>43075.8607578677</v>
      </c>
      <c r="W25" s="70" t="n">
        <f aca="false">W23+W24</f>
        <v>41722.692357097</v>
      </c>
      <c r="X25" s="70" t="n">
        <f aca="false">X23+X24</f>
        <v>36535.5468208092</v>
      </c>
      <c r="Y25" s="70" t="n">
        <f aca="false">Y23+Y24</f>
        <v>43075.8607578677</v>
      </c>
      <c r="Z25" s="70" t="n">
        <f aca="false">Z23+Z24</f>
        <v>0</v>
      </c>
      <c r="AA25" s="70" t="n">
        <f aca="false">AA23+AA24</f>
        <v>0</v>
      </c>
      <c r="AB25" s="70" t="n">
        <f aca="false">AB23+AB24</f>
        <v>0</v>
      </c>
    </row>
    <row r="26" customFormat="false" ht="15" hidden="false" customHeight="false" outlineLevel="0" collapsed="false">
      <c r="A26" s="29" t="s">
        <v>901</v>
      </c>
      <c r="B26" s="60" t="s">
        <v>51</v>
      </c>
      <c r="C26" s="66" t="n">
        <f aca="false">SUM(E26:P26)</f>
        <v>3197.135</v>
      </c>
      <c r="D26" s="66" t="n">
        <f aca="false">SUM(Q26:AB26)</f>
        <v>1890</v>
      </c>
      <c r="E26" s="67" t="n">
        <f aca="false">Engagements!E10+Engagements!E24+Engagements!E33</f>
        <v>229.7</v>
      </c>
      <c r="F26" s="67" t="n">
        <f aca="false">Engagements!F10+Engagements!F24+Engagements!F33</f>
        <v>252.9</v>
      </c>
      <c r="G26" s="67" t="n">
        <f aca="false">Engagements!G10+Engagements!G24+Engagements!G33</f>
        <v>289.8</v>
      </c>
      <c r="H26" s="67" t="n">
        <f aca="false">Engagements!H10+Engagements!H24+Engagements!H33</f>
        <v>290.5</v>
      </c>
      <c r="I26" s="67" t="n">
        <f aca="false">Engagements!I10+Engagements!I24+Engagements!I33</f>
        <v>253.3</v>
      </c>
      <c r="J26" s="67" t="n">
        <f aca="false">Engagements!J10+Engagements!J24+Engagements!J33</f>
        <v>334.5</v>
      </c>
      <c r="K26" s="67" t="n">
        <f aca="false">Engagements!K10+Engagements!K24+Engagements!K33</f>
        <v>362.2</v>
      </c>
      <c r="L26" s="67" t="n">
        <f aca="false">Engagements!L10+Engagements!L24+Engagements!L33</f>
        <v>438</v>
      </c>
      <c r="M26" s="67" t="n">
        <f aca="false">Engagements!M10+Engagements!M24+Engagements!M33</f>
        <v>570.19116</v>
      </c>
      <c r="N26" s="67" t="n">
        <f aca="false">Engagements!N10+Engagements!N24+Engagements!N33</f>
        <v>176.04384</v>
      </c>
      <c r="O26" s="67" t="n">
        <f aca="false">Engagements!O10+Engagements!O24+Engagements!O33</f>
        <v>0</v>
      </c>
      <c r="P26" s="67" t="n">
        <f aca="false">Engagements!P10+Engagements!P24+Engagements!P33</f>
        <v>0</v>
      </c>
      <c r="Q26" s="67" t="n">
        <f aca="false">Engagements!Q10+Engagements!Q24+Engagements!Q33</f>
        <v>194.219653179191</v>
      </c>
      <c r="R26" s="67" t="n">
        <f aca="false">Engagements!R10+Engagements!R24+Engagements!R33</f>
        <v>200.28901734104</v>
      </c>
      <c r="S26" s="67" t="n">
        <f aca="false">Engagements!S10+Engagements!S24+Engagements!S33</f>
        <v>214.85549132948</v>
      </c>
      <c r="T26" s="67" t="n">
        <f aca="false">Engagements!T10+Engagements!T24+Engagements!T33</f>
        <v>224.566473988439</v>
      </c>
      <c r="U26" s="67" t="n">
        <f aca="false">Engagements!U10+Engagements!U24+Engagements!U33</f>
        <v>171.156069364162</v>
      </c>
      <c r="V26" s="67" t="n">
        <f aca="false">Engagements!V10+Engagements!V24+Engagements!V33</f>
        <v>231.849710982659</v>
      </c>
      <c r="W26" s="67" t="n">
        <f aca="false">Engagements!W10+Engagements!W24+Engagements!W33</f>
        <v>224.566473988439</v>
      </c>
      <c r="X26" s="67" t="n">
        <f aca="false">Engagements!X10+Engagements!X24+Engagements!X33</f>
        <v>196.647398843931</v>
      </c>
      <c r="Y26" s="67" t="n">
        <f aca="false">Engagements!Y10+Engagements!Y24+Engagements!Y33</f>
        <v>231.849710982659</v>
      </c>
      <c r="Z26" s="67" t="n">
        <f aca="false">Engagements!Z10+Engagements!Z24+Engagements!Z33</f>
        <v>0</v>
      </c>
      <c r="AA26" s="67" t="n">
        <f aca="false">Engagements!AA10+Engagements!AA24+Engagements!AA33</f>
        <v>0</v>
      </c>
      <c r="AB26" s="67" t="n">
        <f aca="false">Engagements!AB10+Engagements!AB24+Engagements!AB33</f>
        <v>0</v>
      </c>
    </row>
    <row r="27" customFormat="false" ht="15" hidden="false" customHeight="false" outlineLevel="0" collapsed="false">
      <c r="A27" s="29" t="s">
        <v>833</v>
      </c>
      <c r="B27" s="60" t="s">
        <v>51</v>
      </c>
      <c r="C27" s="61" t="n">
        <f aca="false">SUM(E27:P27)</f>
        <v>633797.596</v>
      </c>
      <c r="D27" s="61" t="n">
        <f aca="false">SUM(Q27:AB27)</f>
        <v>386633.52</v>
      </c>
      <c r="E27" s="62" t="n">
        <f aca="false">Engagements!E60+Engagements!E278+Engagements!E406</f>
        <v>45181.99</v>
      </c>
      <c r="F27" s="62" t="n">
        <f aca="false">Engagements!F60+Engagements!F278+Engagements!F406</f>
        <v>49745.43</v>
      </c>
      <c r="G27" s="62" t="n">
        <f aca="false">Engagements!G60+Engagements!G278+Engagements!G406</f>
        <v>57003.66</v>
      </c>
      <c r="H27" s="62" t="n">
        <f aca="false">Engagements!H60+Engagements!H278+Engagements!H406</f>
        <v>57141.35</v>
      </c>
      <c r="I27" s="62" t="n">
        <f aca="false">Engagements!I60+Engagements!I278+Engagements!I406</f>
        <v>49824.11</v>
      </c>
      <c r="J27" s="62" t="n">
        <f aca="false">Engagements!J60+Engagements!J278+Engagements!J406</f>
        <v>65796.15</v>
      </c>
      <c r="K27" s="62" t="n">
        <f aca="false">Engagements!K60+Engagements!K278+Engagements!K406</f>
        <v>71244.74</v>
      </c>
      <c r="L27" s="62" t="n">
        <f aca="false">Engagements!L60+Engagements!L278+Engagements!L406</f>
        <v>87523.77</v>
      </c>
      <c r="M27" s="62" t="n">
        <f aca="false">Engagements!M60+Engagements!M278+Engagements!M406</f>
        <v>113965.738656</v>
      </c>
      <c r="N27" s="62" t="n">
        <f aca="false">Engagements!N60+Engagements!N278+Engagements!N406</f>
        <v>36370.657344</v>
      </c>
      <c r="O27" s="62" t="n">
        <f aca="false">Engagements!O60+Engagements!O278+Engagements!O406</f>
        <v>0</v>
      </c>
      <c r="P27" s="62" t="n">
        <f aca="false">Engagements!P60+Engagements!P278+Engagements!P406</f>
        <v>0</v>
      </c>
      <c r="Q27" s="62" t="n">
        <f aca="false">Engagements!Q60+Engagements!Q278+Engagements!Q406</f>
        <v>39731.1260115607</v>
      </c>
      <c r="R27" s="62" t="n">
        <f aca="false">Engagements!R60+Engagements!R278+Engagements!R406</f>
        <v>40972.723699422</v>
      </c>
      <c r="S27" s="62" t="n">
        <f aca="false">Engagements!S60+Engagements!S278+Engagements!S406</f>
        <v>43952.558150289</v>
      </c>
      <c r="T27" s="62" t="n">
        <f aca="false">Engagements!T60+Engagements!T278+Engagements!T406</f>
        <v>45939.1144508671</v>
      </c>
      <c r="U27" s="62" t="n">
        <f aca="false">Engagements!U60+Engagements!U278+Engagements!U406</f>
        <v>35013.0547976879</v>
      </c>
      <c r="V27" s="62" t="n">
        <f aca="false">Engagements!V60+Engagements!V278+Engagements!V406</f>
        <v>47429.0316763006</v>
      </c>
      <c r="W27" s="62" t="n">
        <f aca="false">Engagements!W60+Engagements!W278+Engagements!W406</f>
        <v>45939.1144508671</v>
      </c>
      <c r="X27" s="62" t="n">
        <f aca="false">Engagements!X60+Engagements!X278+Engagements!X406</f>
        <v>40227.7650867052</v>
      </c>
      <c r="Y27" s="62" t="n">
        <f aca="false">Engagements!Y60+Engagements!Y278+Engagements!Y406</f>
        <v>47429.0316763006</v>
      </c>
      <c r="Z27" s="62" t="n">
        <f aca="false">Engagements!Z60+Engagements!Z278+Engagements!Z406</f>
        <v>0</v>
      </c>
      <c r="AA27" s="62" t="n">
        <f aca="false">Engagements!AA60+Engagements!AA278+Engagements!AA406</f>
        <v>0</v>
      </c>
      <c r="AB27" s="62" t="n">
        <f aca="false">Engagements!AB60+Engagements!AB278+Engagements!AB406</f>
        <v>0</v>
      </c>
    </row>
    <row r="28" customFormat="false" ht="15" hidden="false" customHeight="false" outlineLevel="0" collapsed="false">
      <c r="A28" s="29" t="s">
        <v>716</v>
      </c>
      <c r="B28" s="60" t="s">
        <v>51</v>
      </c>
      <c r="C28" s="61" t="n">
        <f aca="false">SUM(E28:P28)</f>
        <v>575268.34</v>
      </c>
      <c r="D28" s="61" t="n">
        <f aca="false">SUM(Q28:AB28)</f>
        <v>351147.2</v>
      </c>
      <c r="E28" s="62" t="n">
        <f aca="false">Engagements!E65+Engagements!E283+Engagements!E411+Engagements!E69+Engagements!E415</f>
        <v>48417.8</v>
      </c>
      <c r="F28" s="62" t="n">
        <f aca="false">Engagements!F65+Engagements!F283+Engagements!F411+Engagements!F69+Engagements!F415</f>
        <v>44793.73</v>
      </c>
      <c r="G28" s="62" t="n">
        <f aca="false">Engagements!G65+Engagements!G283+Engagements!G411+Engagements!G69+Engagements!G415</f>
        <v>50831.79</v>
      </c>
      <c r="H28" s="62" t="n">
        <f aca="false">Engagements!H65+Engagements!H283+Engagements!H411+Engagements!H69+Engagements!H415</f>
        <v>56036.5</v>
      </c>
      <c r="I28" s="62" t="n">
        <f aca="false">Engagements!I65+Engagements!I283+Engagements!I411+Engagements!I69+Engagements!I415</f>
        <v>57398.75</v>
      </c>
      <c r="J28" s="62" t="n">
        <f aca="false">Engagements!J65+Engagements!J283+Engagements!J411+Engagements!J69+Engagements!J415</f>
        <v>50657.87</v>
      </c>
      <c r="K28" s="62" t="n">
        <f aca="false">Engagements!K65+Engagements!K283+Engagements!K411+Engagements!K69+Engagements!K415</f>
        <v>66368.41</v>
      </c>
      <c r="L28" s="62" t="n">
        <f aca="false">Engagements!L65+Engagements!L283+Engagements!L411+Engagements!L69+Engagements!L415</f>
        <v>101073.15</v>
      </c>
      <c r="M28" s="62" t="n">
        <f aca="false">Engagements!M65+Engagements!M283+Engagements!M411+Engagements!M69+Engagements!M415</f>
        <v>64991.14</v>
      </c>
      <c r="N28" s="62" t="n">
        <f aca="false">Engagements!N65+Engagements!N283+Engagements!N411+Engagements!N69+Engagements!N415</f>
        <v>34699.2</v>
      </c>
      <c r="O28" s="62" t="n">
        <f aca="false">Engagements!O65+Engagements!O283+Engagements!O411+Engagements!O69+Engagements!O415</f>
        <v>0</v>
      </c>
      <c r="P28" s="62" t="n">
        <f aca="false">Engagements!P65+Engagements!P283+Engagements!P411+Engagements!P69+Engagements!P415</f>
        <v>0</v>
      </c>
      <c r="Q28" s="62" t="n">
        <f aca="false">Engagements!Q65+Engagements!Q283+Engagements!Q411+Engagements!Q69+Engagements!Q415</f>
        <v>0</v>
      </c>
      <c r="R28" s="62" t="n">
        <f aca="false">Engagements!R65+Engagements!R283+Engagements!R411+Engagements!R69+Engagements!R415</f>
        <v>39753.3758150289</v>
      </c>
      <c r="S28" s="62" t="n">
        <f aca="false">Engagements!S65+Engagements!S283+Engagements!S411+Engagements!S69+Engagements!S415</f>
        <v>40995.6688092486</v>
      </c>
      <c r="T28" s="62" t="n">
        <f aca="false">Engagements!T65+Engagements!T283+Engagements!T411+Engagements!T69+Engagements!T415</f>
        <v>43977.1719953757</v>
      </c>
      <c r="U28" s="62" t="n">
        <f aca="false">Engagements!U65+Engagements!U283+Engagements!U411+Engagements!U69+Engagements!U415</f>
        <v>45964.8407861272</v>
      </c>
      <c r="V28" s="62" t="n">
        <f aca="false">Engagements!V65+Engagements!V283+Engagements!V411+Engagements!V69+Engagements!V415</f>
        <v>35032.6624369942</v>
      </c>
      <c r="W28" s="62" t="n">
        <f aca="false">Engagements!W65+Engagements!W283+Engagements!W411+Engagements!W69+Engagements!W415</f>
        <v>47455.5923791908</v>
      </c>
      <c r="X28" s="62" t="n">
        <f aca="false">Engagements!X65+Engagements!X283+Engagements!X411+Engagements!X69+Engagements!X415</f>
        <v>45964.8407861272</v>
      </c>
      <c r="Y28" s="62" t="n">
        <f aca="false">Engagements!Y65+Engagements!Y283+Engagements!Y411+Engagements!Y69+Engagements!Y415</f>
        <v>40250.2930127168</v>
      </c>
      <c r="Z28" s="62" t="n">
        <f aca="false">Engagements!Z65+Engagements!Z283+Engagements!Z411+Engagements!Z69+Engagements!Z415</f>
        <v>11752.7539791907</v>
      </c>
      <c r="AA28" s="62" t="n">
        <f aca="false">Engagements!AA65+Engagements!AA283+Engagements!AA411+Engagements!AA69+Engagements!AA415</f>
        <v>0</v>
      </c>
      <c r="AB28" s="62" t="n">
        <f aca="false">Engagements!AB65+Engagements!AB283+Engagements!AB411+Engagements!AB69+Engagements!AB415</f>
        <v>0</v>
      </c>
    </row>
    <row r="29" customFormat="false" ht="15" hidden="false" customHeight="false" outlineLevel="0" collapsed="false">
      <c r="A29" s="29" t="s">
        <v>949</v>
      </c>
      <c r="B29" s="60" t="s">
        <v>950</v>
      </c>
      <c r="C29" s="61" t="n">
        <f aca="false">SUM(E29:P29)</f>
        <v>109300.9846</v>
      </c>
      <c r="D29" s="61" t="n">
        <f aca="false">SUM(Q29:AB29)</f>
        <v>66717.968</v>
      </c>
      <c r="E29" s="62" t="n">
        <f aca="false">E28*Client_Register!$E$8</f>
        <v>9199.382</v>
      </c>
      <c r="F29" s="62" t="n">
        <f aca="false">F28*Client_Register!$E$8</f>
        <v>8510.8087</v>
      </c>
      <c r="G29" s="62" t="n">
        <f aca="false">G28*Client_Register!$E$8</f>
        <v>9658.0401</v>
      </c>
      <c r="H29" s="62" t="n">
        <f aca="false">H28*Client_Register!$E$8</f>
        <v>10646.935</v>
      </c>
      <c r="I29" s="62" t="n">
        <f aca="false">I28*Client_Register!$E$8</f>
        <v>10905.7625</v>
      </c>
      <c r="J29" s="62" t="n">
        <f aca="false">J28*Client_Register!$E$8</f>
        <v>9624.9953</v>
      </c>
      <c r="K29" s="62" t="n">
        <f aca="false">K28*Client_Register!$E$8</f>
        <v>12609.9979</v>
      </c>
      <c r="L29" s="62" t="n">
        <f aca="false">L28*Client_Register!$E$8</f>
        <v>19203.8985</v>
      </c>
      <c r="M29" s="62" t="n">
        <f aca="false">M28*Client_Register!$E$8</f>
        <v>12348.3166</v>
      </c>
      <c r="N29" s="62" t="n">
        <f aca="false">N28*Client_Register!$E$8</f>
        <v>6592.848</v>
      </c>
      <c r="O29" s="62" t="n">
        <f aca="false">O28*Client_Register!$E$8</f>
        <v>0</v>
      </c>
      <c r="P29" s="62" t="n">
        <f aca="false">P28*Client_Register!$E$8</f>
        <v>0</v>
      </c>
      <c r="Q29" s="62" t="n">
        <f aca="false">Q28*Client_Register!$E$8</f>
        <v>0</v>
      </c>
      <c r="R29" s="62" t="n">
        <f aca="false">R28*Client_Register!$E$8</f>
        <v>7553.14140485549</v>
      </c>
      <c r="S29" s="62" t="n">
        <f aca="false">S28*Client_Register!$E$8</f>
        <v>7789.17707375723</v>
      </c>
      <c r="T29" s="62" t="n">
        <f aca="false">T28*Client_Register!$E$8</f>
        <v>8355.66267912139</v>
      </c>
      <c r="U29" s="62" t="n">
        <f aca="false">U28*Client_Register!$E$8</f>
        <v>8733.31974936416</v>
      </c>
      <c r="V29" s="62" t="n">
        <f aca="false">V28*Client_Register!$E$8</f>
        <v>6656.2058630289</v>
      </c>
      <c r="W29" s="62" t="n">
        <f aca="false">W28*Client_Register!$E$8</f>
        <v>9016.56255204625</v>
      </c>
      <c r="X29" s="62" t="n">
        <f aca="false">X28*Client_Register!$E$8</f>
        <v>8733.31974936416</v>
      </c>
      <c r="Y29" s="62" t="n">
        <f aca="false">Y28*Client_Register!$E$8</f>
        <v>7647.55567241619</v>
      </c>
      <c r="Z29" s="62" t="n">
        <f aca="false">Z28*Client_Register!$E$8</f>
        <v>2233.02325604623</v>
      </c>
      <c r="AA29" s="62" t="n">
        <f aca="false">AA28*Client_Register!$E$8</f>
        <v>0</v>
      </c>
      <c r="AB29" s="62" t="n">
        <f aca="false">AB28*Client_Register!$E$8</f>
        <v>0</v>
      </c>
    </row>
    <row r="30" customFormat="false" ht="15" hidden="false" customHeight="false" outlineLevel="0" collapsed="false">
      <c r="A30" s="68" t="s">
        <v>951</v>
      </c>
      <c r="B30" s="69"/>
      <c r="C30" s="70" t="n">
        <f aca="false">SUM(E30:P30)</f>
        <v>684569.3246</v>
      </c>
      <c r="D30" s="70" t="n">
        <f aca="false">SUM(Q30:AB30)</f>
        <v>417865.168</v>
      </c>
      <c r="E30" s="70" t="n">
        <f aca="false">E28+E29</f>
        <v>57617.182</v>
      </c>
      <c r="F30" s="70" t="n">
        <f aca="false">F28+F29</f>
        <v>53304.5387</v>
      </c>
      <c r="G30" s="70" t="n">
        <f aca="false">G28+G29</f>
        <v>60489.8301</v>
      </c>
      <c r="H30" s="70" t="n">
        <f aca="false">H28+H29</f>
        <v>66683.435</v>
      </c>
      <c r="I30" s="70" t="n">
        <f aca="false">I28+I29</f>
        <v>68304.5125</v>
      </c>
      <c r="J30" s="70" t="n">
        <f aca="false">J28+J29</f>
        <v>60282.8653</v>
      </c>
      <c r="K30" s="70" t="n">
        <f aca="false">K28+K29</f>
        <v>78978.4079</v>
      </c>
      <c r="L30" s="70" t="n">
        <f aca="false">L28+L29</f>
        <v>120277.0485</v>
      </c>
      <c r="M30" s="70" t="n">
        <f aca="false">M28+M29</f>
        <v>77339.4566</v>
      </c>
      <c r="N30" s="70" t="n">
        <f aca="false">N28+N29</f>
        <v>41292.048</v>
      </c>
      <c r="O30" s="70" t="n">
        <f aca="false">O28+O29</f>
        <v>0</v>
      </c>
      <c r="P30" s="70" t="n">
        <f aca="false">P28+P29</f>
        <v>0</v>
      </c>
      <c r="Q30" s="70" t="n">
        <f aca="false">Q28+Q29</f>
        <v>0</v>
      </c>
      <c r="R30" s="70" t="n">
        <f aca="false">R28+R29</f>
        <v>47306.5172198844</v>
      </c>
      <c r="S30" s="70" t="n">
        <f aca="false">S28+S29</f>
        <v>48784.8458830058</v>
      </c>
      <c r="T30" s="70" t="n">
        <f aca="false">T28+T29</f>
        <v>52332.8346744971</v>
      </c>
      <c r="U30" s="70" t="n">
        <f aca="false">U28+U29</f>
        <v>54698.1605354913</v>
      </c>
      <c r="V30" s="70" t="n">
        <f aca="false">V28+V29</f>
        <v>41688.8683000231</v>
      </c>
      <c r="W30" s="70" t="n">
        <f aca="false">W28+W29</f>
        <v>56472.154931237</v>
      </c>
      <c r="X30" s="70" t="n">
        <f aca="false">X28+X29</f>
        <v>54698.1605354913</v>
      </c>
      <c r="Y30" s="70" t="n">
        <f aca="false">Y28+Y29</f>
        <v>47897.848685133</v>
      </c>
      <c r="Z30" s="70" t="n">
        <f aca="false">Z28+Z29</f>
        <v>13985.7772352369</v>
      </c>
      <c r="AA30" s="70" t="n">
        <f aca="false">AA28+AA29</f>
        <v>0</v>
      </c>
      <c r="AB30" s="70" t="n">
        <f aca="false">AB28+AB29</f>
        <v>0</v>
      </c>
    </row>
    <row r="31" customFormat="false" ht="15" hidden="false" customHeight="false" outlineLevel="0" collapsed="false">
      <c r="A31" s="29" t="s">
        <v>952</v>
      </c>
      <c r="B31" s="60" t="s">
        <v>953</v>
      </c>
      <c r="C31" s="61" t="n">
        <f aca="false">SUM(E31:P31)</f>
        <v>914540.6446</v>
      </c>
      <c r="D31" s="61" t="n">
        <f aca="false">SUM(Q31:AB31)</f>
        <v>417865.168</v>
      </c>
      <c r="E31" s="62" t="n">
        <f aca="false">IF(E$5="A",Inputs_Actuals!E105,Client_Register!$J$8+E30-(E30*MIN(1,Client_Register!$I$8/30)+0*MIN(1,MAX(0,(Client_Register!$I$8-30)/30))+0*MIN(1,MAX(0,(Client_Register!$I$8-60)/30))))</f>
        <v>133442.12</v>
      </c>
      <c r="F31" s="62" t="n">
        <f aca="false">IF(F$5="A",Inputs_Actuals!F105,E32+F30-(F30*MIN(1,Client_Register!$I$8/30)+E30*MIN(1,MAX(0,(Client_Register!$I$8-30)/30))+0*MIN(1,MAX(0,(Client_Register!$I$8-60)/30))))</f>
        <v>87793</v>
      </c>
      <c r="G31" s="62" t="n">
        <f aca="false">IF(G$5="A",Inputs_Actuals!G105,F32+G30-(G30*MIN(1,Client_Register!$I$8/30)+F30*MIN(1,MAX(0,(Client_Register!$I$8-30)/30))+E30*MIN(1,MAX(0,(Client_Register!$I$8-60)/30))))</f>
        <v>66543.84</v>
      </c>
      <c r="H31" s="62" t="n">
        <f aca="false">IF(H$5="A",Inputs_Actuals!H105,G32+H30-(H30*MIN(1,Client_Register!$I$8/30)+G30*MIN(1,MAX(0,(Client_Register!$I$8-30)/30))+F30*MIN(1,MAX(0,(Client_Register!$I$8-60)/30))))</f>
        <v>44069.06</v>
      </c>
      <c r="I31" s="62" t="n">
        <f aca="false">IF(I$5="A",Inputs_Actuals!I105,H32+I30-(I30*MIN(1,Client_Register!$I$8/30)+H30*MIN(1,MAX(0,(Client_Register!$I$8-30)/30))+G30*MIN(1,MAX(0,(Client_Register!$I$8-60)/30))))</f>
        <v>67936.82</v>
      </c>
      <c r="J31" s="62" t="n">
        <f aca="false">IF(J$5="A",Inputs_Actuals!J105,I32+J30-(J30*MIN(1,Client_Register!$I$8/30)+I30*MIN(1,MAX(0,(Client_Register!$I$8-30)/30))+H30*MIN(1,MAX(0,(Client_Register!$I$8-60)/30))))</f>
        <v>68104.42</v>
      </c>
      <c r="K31" s="62" t="n">
        <f aca="false">IF(K$5="A",Inputs_Actuals!K105,J32+K30-(K30*MIN(1,Client_Register!$I$8/30)+J30*MIN(1,MAX(0,(Client_Register!$I$8-30)/30))+I30*MIN(1,MAX(0,(Client_Register!$I$8-60)/30))))</f>
        <v>77991.26</v>
      </c>
      <c r="L31" s="62" t="n">
        <f aca="false">IF(L$5="A",Inputs_Actuals!L105,K32+L30-(L30*MIN(1,Client_Register!$I$8/30)+K30*MIN(1,MAX(0,(Client_Register!$I$8-30)/30))+J30*MIN(1,MAX(0,(Client_Register!$I$8-60)/30))))</f>
        <v>57860.81</v>
      </c>
      <c r="M31" s="62" t="n">
        <f aca="false">IF(M$5="A",Inputs_Actuals!M105,L32+M30-(M30*MIN(1,Client_Register!$I$8/30)+L30*MIN(1,MAX(0,(Client_Register!$I$8-30)/30))+K30*MIN(1,MAX(0,(Client_Register!$I$8-60)/30))))</f>
        <v>71890.7615</v>
      </c>
      <c r="N31" s="62" t="n">
        <f aca="false">IF(N$5="A",Inputs_Actuals!N105,M32+N30-(N30*MIN(1,Client_Register!$I$8/30)+M30*MIN(1,MAX(0,(Client_Register!$I$8-30)/30))+L30*MIN(1,MAX(0,(Client_Register!$I$8-60)/30))))</f>
        <v>120277.0485</v>
      </c>
      <c r="O31" s="62" t="n">
        <f aca="false">IF(O$5="A",Inputs_Actuals!O105,N32+O30-(O30*MIN(1,Client_Register!$I$8/30)+N30*MIN(1,MAX(0,(Client_Register!$I$8-30)/30))+M30*MIN(1,MAX(0,(Client_Register!$I$8-60)/30))))</f>
        <v>77339.4566</v>
      </c>
      <c r="P31" s="62" t="n">
        <f aca="false">IF(P$5="A",Inputs_Actuals!P105,O32+P30-(P30*MIN(1,Client_Register!$I$8/30)+O30*MIN(1,MAX(0,(Client_Register!$I$8-30)/30))+N30*MIN(1,MAX(0,(Client_Register!$I$8-60)/30))))</f>
        <v>41292.048</v>
      </c>
      <c r="Q31" s="62" t="n">
        <f aca="false">IF(Q$5="A",Inputs_Actuals!Q105,P32+Q30-(Q30*MIN(1,Client_Register!$I$8/30)+P30*MIN(1,MAX(0,(Client_Register!$I$8-30)/30))+O30*MIN(1,MAX(0,(Client_Register!$I$8-60)/30))))</f>
        <v>0</v>
      </c>
      <c r="R31" s="62" t="n">
        <f aca="false">IF(R$5="A",Inputs_Actuals!R105,Q32+R30-(R30*MIN(1,Client_Register!$I$8/30)+Q30*MIN(1,MAX(0,(Client_Register!$I$8-30)/30))+P30*MIN(1,MAX(0,(Client_Register!$I$8-60)/30))))</f>
        <v>0</v>
      </c>
      <c r="S31" s="62" t="n">
        <f aca="false">IF(S$5="A",Inputs_Actuals!S105,R32+S30-(S30*MIN(1,Client_Register!$I$8/30)+R30*MIN(1,MAX(0,(Client_Register!$I$8-30)/30))+Q30*MIN(1,MAX(0,(Client_Register!$I$8-60)/30))))</f>
        <v>0</v>
      </c>
      <c r="T31" s="62" t="n">
        <f aca="false">IF(T$5="A",Inputs_Actuals!T105,S32+T30-(T30*MIN(1,Client_Register!$I$8/30)+S30*MIN(1,MAX(0,(Client_Register!$I$8-30)/30))+R30*MIN(1,MAX(0,(Client_Register!$I$8-60)/30))))</f>
        <v>47306.5172198844</v>
      </c>
      <c r="U31" s="62" t="n">
        <f aca="false">IF(U$5="A",Inputs_Actuals!U105,T32+U30-(U30*MIN(1,Client_Register!$I$8/30)+T30*MIN(1,MAX(0,(Client_Register!$I$8-30)/30))+S30*MIN(1,MAX(0,(Client_Register!$I$8-60)/30))))</f>
        <v>48784.8458830058</v>
      </c>
      <c r="V31" s="62" t="n">
        <f aca="false">IF(V$5="A",Inputs_Actuals!V105,U32+V30-(V30*MIN(1,Client_Register!$I$8/30)+U30*MIN(1,MAX(0,(Client_Register!$I$8-30)/30))+T30*MIN(1,MAX(0,(Client_Register!$I$8-60)/30))))</f>
        <v>52332.8346744971</v>
      </c>
      <c r="W31" s="62" t="n">
        <f aca="false">IF(W$5="A",Inputs_Actuals!W105,V32+W30-(W30*MIN(1,Client_Register!$I$8/30)+V30*MIN(1,MAX(0,(Client_Register!$I$8-30)/30))+U30*MIN(1,MAX(0,(Client_Register!$I$8-60)/30))))</f>
        <v>54698.1605354914</v>
      </c>
      <c r="X31" s="62" t="n">
        <f aca="false">IF(X$5="A",Inputs_Actuals!X105,W32+X30-(X30*MIN(1,Client_Register!$I$8/30)+W30*MIN(1,MAX(0,(Client_Register!$I$8-30)/30))+V30*MIN(1,MAX(0,(Client_Register!$I$8-60)/30))))</f>
        <v>41688.8683000231</v>
      </c>
      <c r="Y31" s="62" t="n">
        <f aca="false">IF(Y$5="A",Inputs_Actuals!Y105,X32+Y30-(Y30*MIN(1,Client_Register!$I$8/30)+X30*MIN(1,MAX(0,(Client_Register!$I$8-30)/30))+W30*MIN(1,MAX(0,(Client_Register!$I$8-60)/30))))</f>
        <v>56472.154931237</v>
      </c>
      <c r="Z31" s="62" t="n">
        <f aca="false">IF(Z$5="A",Inputs_Actuals!Z105,Y32+Z30-(Z30*MIN(1,Client_Register!$I$8/30)+Y30*MIN(1,MAX(0,(Client_Register!$I$8-30)/30))+X30*MIN(1,MAX(0,(Client_Register!$I$8-60)/30))))</f>
        <v>54698.1605354914</v>
      </c>
      <c r="AA31" s="62" t="n">
        <f aca="false">IF(AA$5="A",Inputs_Actuals!AA105,Z32+AA30-(AA30*MIN(1,Client_Register!$I$8/30)+Z30*MIN(1,MAX(0,(Client_Register!$I$8-30)/30))+Y30*MIN(1,MAX(0,(Client_Register!$I$8-60)/30))))</f>
        <v>47897.848685133</v>
      </c>
      <c r="AB31" s="62" t="n">
        <f aca="false">IF(AB$5="A",Inputs_Actuals!AB105,AA32+AB30-(AB30*MIN(1,Client_Register!$I$8/30)+AA30*MIN(1,MAX(0,(Client_Register!$I$8-30)/30))+Z30*MIN(1,MAX(0,(Client_Register!$I$8-60)/30))))</f>
        <v>13985.7772352369</v>
      </c>
    </row>
    <row r="32" customFormat="false" ht="15" hidden="false" customHeight="false" outlineLevel="0" collapsed="false">
      <c r="A32" s="68" t="s">
        <v>954</v>
      </c>
      <c r="B32" s="69" t="s">
        <v>955</v>
      </c>
      <c r="C32" s="70" t="n">
        <f aca="false">P32</f>
        <v>0</v>
      </c>
      <c r="D32" s="70" t="n">
        <f aca="false">AB32</f>
        <v>0</v>
      </c>
      <c r="E32" s="74" t="n">
        <f aca="false">Client_Register!$J$8+E30-E31</f>
        <v>154146.382</v>
      </c>
      <c r="F32" s="70" t="n">
        <f aca="false">E32+F30-F31</f>
        <v>119657.9207</v>
      </c>
      <c r="G32" s="70" t="n">
        <f aca="false">F32+G30-G31</f>
        <v>113603.9108</v>
      </c>
      <c r="H32" s="70" t="n">
        <f aca="false">G32+H30-H31</f>
        <v>136218.2858</v>
      </c>
      <c r="I32" s="70" t="n">
        <f aca="false">H32+I30-I31</f>
        <v>136585.9783</v>
      </c>
      <c r="J32" s="70" t="n">
        <f aca="false">I32+J30-J31</f>
        <v>128764.4236</v>
      </c>
      <c r="K32" s="70" t="n">
        <f aca="false">J32+K30-K31</f>
        <v>129751.5715</v>
      </c>
      <c r="L32" s="70" t="n">
        <f aca="false">K32+L30-L31</f>
        <v>192167.81</v>
      </c>
      <c r="M32" s="70" t="n">
        <f aca="false">L32+M30-M31</f>
        <v>197616.5051</v>
      </c>
      <c r="N32" s="70" t="n">
        <f aca="false">M32+N30-N31</f>
        <v>118631.5046</v>
      </c>
      <c r="O32" s="70" t="n">
        <f aca="false">N32+O30-O31</f>
        <v>41292.048</v>
      </c>
      <c r="P32" s="70" t="n">
        <f aca="false">O32+P30-P31</f>
        <v>0</v>
      </c>
      <c r="Q32" s="70" t="n">
        <f aca="false">P32+Q30-Q31</f>
        <v>0</v>
      </c>
      <c r="R32" s="70" t="n">
        <f aca="false">Q32+R30-R31</f>
        <v>47306.5172198844</v>
      </c>
      <c r="S32" s="70" t="n">
        <f aca="false">R32+S30-S31</f>
        <v>96091.3631028902</v>
      </c>
      <c r="T32" s="70" t="n">
        <f aca="false">S32+T30-T31</f>
        <v>101117.680557503</v>
      </c>
      <c r="U32" s="70" t="n">
        <f aca="false">T32+U30-U31</f>
        <v>107030.995209988</v>
      </c>
      <c r="V32" s="70" t="n">
        <f aca="false">U32+V30-V31</f>
        <v>96387.0288355145</v>
      </c>
      <c r="W32" s="70" t="n">
        <f aca="false">V32+W30-W31</f>
        <v>98161.0232312601</v>
      </c>
      <c r="X32" s="70" t="n">
        <f aca="false">W32+X30-X31</f>
        <v>111170.315466728</v>
      </c>
      <c r="Y32" s="70" t="n">
        <f aca="false">X32+Y30-Y31</f>
        <v>102596.009220624</v>
      </c>
      <c r="Z32" s="70" t="n">
        <f aca="false">Y32+Z30-Z31</f>
        <v>61883.6259203699</v>
      </c>
      <c r="AA32" s="70" t="n">
        <f aca="false">Z32+AA30-AA31</f>
        <v>13985.7772352369</v>
      </c>
      <c r="AB32" s="70" t="n">
        <f aca="false">AA32+AB30-AB31</f>
        <v>0</v>
      </c>
    </row>
    <row r="33" customFormat="false" ht="15" hidden="false" customHeight="false" outlineLevel="0" collapsed="false">
      <c r="A33" s="29" t="s">
        <v>956</v>
      </c>
      <c r="B33" s="60"/>
      <c r="C33" s="66" t="n">
        <f aca="false">P33</f>
        <v>0</v>
      </c>
      <c r="D33" s="66" t="n">
        <f aca="false">AB33</f>
        <v>0</v>
      </c>
      <c r="E33" s="67" t="n">
        <f aca="false">IFERROR(E32/SUM(E30:E30)*SUM(Assumptions!E$191:E$191),0)</f>
        <v>82.9359867339572</v>
      </c>
      <c r="F33" s="67" t="n">
        <f aca="false">IFERROR(F32/SUM(E30:F30)*SUM(Assumptions!E$191:F$191),0)</f>
        <v>63.6468428072267</v>
      </c>
      <c r="G33" s="67" t="n">
        <f aca="false">IFERROR(G32/SUM(E30:G30)*SUM(Assumptions!E$191:G$191),0)</f>
        <v>59.6479754385374</v>
      </c>
      <c r="H33" s="67" t="n">
        <f aca="false">IFERROR(H32/SUM(F30:H30)*SUM(Assumptions!F$191:H$191),0)</f>
        <v>67.1740634080123</v>
      </c>
      <c r="I33" s="67" t="n">
        <f aca="false">IFERROR(I32/SUM(G30:I30)*SUM(Assumptions!G$191:I$191),0)</f>
        <v>64.2830615217717</v>
      </c>
      <c r="J33" s="67" t="n">
        <f aca="false">IFERROR(J32/SUM(H30:J30)*SUM(Assumptions!H$191:J$191),0)</f>
        <v>60.0067279875633</v>
      </c>
      <c r="K33" s="67" t="n">
        <f aca="false">IFERROR(K32/SUM(I30:K30)*SUM(Assumptions!I$191:K$191),0)</f>
        <v>57.5101746067777</v>
      </c>
      <c r="L33" s="67" t="n">
        <f aca="false">IFERROR(L32/SUM(J30:L30)*SUM(Assumptions!J$191:L$191),0)</f>
        <v>68.1187980418385</v>
      </c>
      <c r="M33" s="67" t="n">
        <f aca="false">IFERROR(M32/SUM(K30:M30)*SUM(Assumptions!K$191:M$191),0)</f>
        <v>65.7304874916481</v>
      </c>
      <c r="N33" s="67" t="n">
        <f aca="false">IFERROR(N32/SUM(L30:N30)*SUM(Assumptions!L$191:N$191),0)</f>
        <v>45.6831632086093</v>
      </c>
      <c r="O33" s="67" t="n">
        <f aca="false">IFERROR(O32/SUM(M30:O30)*SUM(Assumptions!M$191:O$191),0)</f>
        <v>31.6743548070956</v>
      </c>
      <c r="P33" s="67" t="n">
        <f aca="false">IFERROR(P32/SUM(N30:P30)*SUM(Assumptions!N$191:P$191),0)</f>
        <v>0</v>
      </c>
      <c r="Q33" s="67" t="n">
        <f aca="false">IFERROR(Q32/SUM(O30:Q30)*SUM(Assumptions!O$191:Q$191),0)</f>
        <v>0</v>
      </c>
      <c r="R33" s="67" t="n">
        <f aca="false">IFERROR(R32/SUM(P30:R30)*SUM(Assumptions!P$191:R$191),0)</f>
        <v>90</v>
      </c>
      <c r="S33" s="67" t="n">
        <f aca="false">IFERROR(S32/SUM(Q30:S30)*SUM(Assumptions!Q$191:S$191),0)</f>
        <v>90</v>
      </c>
      <c r="T33" s="67" t="n">
        <f aca="false">IFERROR(T32/SUM(R30:T30)*SUM(Assumptions!R$191:T$191),0)</f>
        <v>60.6334661354582</v>
      </c>
      <c r="U33" s="67" t="n">
        <f aca="false">IFERROR(U32/SUM(S30:U30)*SUM(Assumptions!S$191:U$191),0)</f>
        <v>63.1954459203036</v>
      </c>
      <c r="V33" s="67" t="n">
        <f aca="false">IFERROR(V32/SUM(T30:V30)*SUM(Assumptions!T$191:V$191),0)</f>
        <v>58.9781312127237</v>
      </c>
      <c r="W33" s="67" t="n">
        <f aca="false">IFERROR(W32/SUM(U30:W30)*SUM(Assumptions!U$191:W$191),0)</f>
        <v>59.0793036750483</v>
      </c>
      <c r="X33" s="67" t="n">
        <f aca="false">IFERROR(X32/SUM(V30:X30)*SUM(Assumptions!V$191:X$191),0)</f>
        <v>66.9090909090909</v>
      </c>
      <c r="Y33" s="67" t="n">
        <f aca="false">IFERROR(Y32/SUM(W30:Y30)*SUM(Assumptions!W$191:Y$191),0)</f>
        <v>59.3382899628253</v>
      </c>
      <c r="Z33" s="67" t="n">
        <f aca="false">IFERROR(Z32/SUM(X30:Z30)*SUM(Assumptions!X$191:Z$191),0)</f>
        <v>48.8351890784377</v>
      </c>
      <c r="AA33" s="67" t="n">
        <f aca="false">IFERROR(AA32/SUM(Y30:AA30)*SUM(Assumptions!Y$191:AA$191),0)</f>
        <v>20.5661143715826</v>
      </c>
      <c r="AB33" s="67" t="n">
        <f aca="false">IFERROR(AB32/SUM(Z30:AB30)*SUM(Assumptions!Z$191:AB$191),0)</f>
        <v>0</v>
      </c>
    </row>
    <row r="34" customFormat="false" ht="15" hidden="false" customHeight="false" outlineLevel="0" collapsed="false">
      <c r="A34" s="29" t="s">
        <v>957</v>
      </c>
      <c r="B34" s="60" t="s">
        <v>51</v>
      </c>
      <c r="C34" s="61" t="n">
        <f aca="false">P34</f>
        <v>-1.56433088704944E-010</v>
      </c>
      <c r="D34" s="61" t="n">
        <f aca="false">AB34</f>
        <v>-1.56433088704944E-010</v>
      </c>
      <c r="E34" s="62" t="n">
        <f aca="false">Engagements!E70+Engagements!E286+Engagements!E416</f>
        <v>44793.73</v>
      </c>
      <c r="F34" s="62" t="n">
        <f aca="false">Engagements!F70+Engagements!F286+Engagements!F416</f>
        <v>42237.66</v>
      </c>
      <c r="G34" s="62" t="n">
        <f aca="false">Engagements!G70+Engagements!G286+Engagements!G416</f>
        <v>29583.76</v>
      </c>
      <c r="H34" s="62" t="n">
        <f aca="false">Engagements!H70+Engagements!H286+Engagements!H416</f>
        <v>13186.66</v>
      </c>
      <c r="I34" s="62" t="n">
        <f aca="false">Engagements!I70+Engagements!I286+Engagements!I416</f>
        <v>-11024.39</v>
      </c>
      <c r="J34" s="62" t="n">
        <f aca="false">Engagements!J70+Engagements!J286+Engagements!J416</f>
        <v>-4384.77</v>
      </c>
      <c r="K34" s="62" t="n">
        <f aca="false">Engagements!K70+Engagements!K286+Engagements!K416</f>
        <v>-8002.10999999999</v>
      </c>
      <c r="L34" s="62" t="n">
        <f aca="false">Engagements!L70+Engagements!L286+Engagements!L416</f>
        <v>-30906.21</v>
      </c>
      <c r="M34" s="62" t="n">
        <f aca="false">Engagements!M70+Engagements!M286+Engagements!M416</f>
        <v>1054.72309967092</v>
      </c>
      <c r="N34" s="62" t="n">
        <f aca="false">Engagements!N70+Engagements!N286+Engagements!N416</f>
        <v>-1.56433088704944E-010</v>
      </c>
      <c r="O34" s="62" t="n">
        <f aca="false">Engagements!O70+Engagements!O286+Engagements!O416</f>
        <v>-1.56433088704944E-010</v>
      </c>
      <c r="P34" s="62" t="n">
        <f aca="false">Engagements!P70+Engagements!P286+Engagements!P416</f>
        <v>-1.56433088704944E-010</v>
      </c>
      <c r="Q34" s="62" t="n">
        <f aca="false">Engagements!Q70+Engagements!Q286+Engagements!Q416</f>
        <v>36084.4906872189</v>
      </c>
      <c r="R34" s="62" t="n">
        <f aca="false">Engagements!R70+Engagements!R286+Engagements!R416</f>
        <v>33543.2458933846</v>
      </c>
      <c r="S34" s="62" t="n">
        <f aca="false">Engagements!S70+Engagements!S286+Engagements!S416</f>
        <v>32466.044906872</v>
      </c>
      <c r="T34" s="62" t="n">
        <f aca="false">Engagements!T70+Engagements!T286+Engagements!T416</f>
        <v>30211.5652685933</v>
      </c>
      <c r="U34" s="62" t="n">
        <f aca="false">Engagements!U70+Engagements!U286+Engagements!U416</f>
        <v>16046.1819005779</v>
      </c>
      <c r="V34" s="62" t="n">
        <f aca="false">Engagements!V70+Engagements!V286+Engagements!V416</f>
        <v>24089.3802214513</v>
      </c>
      <c r="W34" s="62" t="n">
        <f aca="false">Engagements!W70+Engagements!W286+Engagements!W416</f>
        <v>18356.4801993576</v>
      </c>
      <c r="X34" s="62" t="n">
        <f aca="false">Engagements!X70+Engagements!X286+Engagements!X416</f>
        <v>8927.18623403959</v>
      </c>
      <c r="Y34" s="62" t="n">
        <f aca="false">Engagements!Y70+Engagements!Y286+Engagements!Y416</f>
        <v>11752.7539791905</v>
      </c>
      <c r="Z34" s="62" t="n">
        <f aca="false">Engagements!Z70+Engagements!Z286+Engagements!Z416</f>
        <v>-1.56433088704944E-010</v>
      </c>
      <c r="AA34" s="62" t="n">
        <f aca="false">Engagements!AA70+Engagements!AA286+Engagements!AA416</f>
        <v>-1.56433088704944E-010</v>
      </c>
      <c r="AB34" s="62" t="n">
        <f aca="false">Engagements!AB70+Engagements!AB286+Engagements!AB416</f>
        <v>-1.56433088704944E-010</v>
      </c>
    </row>
    <row r="36" customFormat="false" ht="15" hidden="false" customHeight="false" outlineLevel="0" collapsed="false">
      <c r="A36" s="23" t="s">
        <v>959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row>
    <row r="37" customFormat="false" ht="15" hidden="false" customHeight="false" outlineLevel="0" collapsed="false">
      <c r="A37" s="29" t="s">
        <v>679</v>
      </c>
      <c r="B37" s="60" t="s">
        <v>51</v>
      </c>
      <c r="C37" s="61" t="n">
        <f aca="false">SUM(E37:P37)</f>
        <v>977572.807317155</v>
      </c>
      <c r="D37" s="61" t="n">
        <f aca="false">SUM(Q37:AB37)</f>
        <v>335924.939518281</v>
      </c>
      <c r="E37" s="62" t="n">
        <f aca="false">Engagements!E78+Engagements!E248+Engagements!E367+Engagements!E426</f>
        <v>87172.41</v>
      </c>
      <c r="F37" s="62" t="n">
        <f aca="false">Engagements!F78+Engagements!F248+Engagements!F367+Engagements!F426</f>
        <v>89729.82</v>
      </c>
      <c r="G37" s="62" t="n">
        <f aca="false">Engagements!G78+Engagements!G248+Engagements!G367+Engagements!G426</f>
        <v>94929.76</v>
      </c>
      <c r="H37" s="62" t="n">
        <f aca="false">Engagements!H78+Engagements!H248+Engagements!H367+Engagements!H426</f>
        <v>90920.74</v>
      </c>
      <c r="I37" s="62" t="n">
        <f aca="false">Engagements!I78+Engagements!I248+Engagements!I367+Engagements!I426</f>
        <v>76482.22</v>
      </c>
      <c r="J37" s="62" t="n">
        <f aca="false">Engagements!J78+Engagements!J248+Engagements!J367+Engagements!J426</f>
        <v>97486.29</v>
      </c>
      <c r="K37" s="62" t="n">
        <f aca="false">Engagements!K78+Engagements!K248+Engagements!K367+Engagements!K426</f>
        <v>57019.59</v>
      </c>
      <c r="L37" s="62" t="n">
        <f aca="false">Engagements!L78+Engagements!L248+Engagements!L367+Engagements!L426</f>
        <v>45659.58</v>
      </c>
      <c r="M37" s="62" t="n">
        <f aca="false">Engagements!M78+Engagements!M248+Engagements!M367+Engagements!M426</f>
        <v>57199.6570932395</v>
      </c>
      <c r="N37" s="62" t="n">
        <f aca="false">Engagements!N78+Engagements!N248+Engagements!N367+Engagements!N426</f>
        <v>56608.5373745375</v>
      </c>
      <c r="O37" s="62" t="n">
        <f aca="false">Engagements!O78+Engagements!O248+Engagements!O367+Engagements!O426</f>
        <v>96606.1819647748</v>
      </c>
      <c r="P37" s="62" t="n">
        <f aca="false">Engagements!P78+Engagements!P248+Engagements!P367+Engagements!P426</f>
        <v>127758.020884603</v>
      </c>
      <c r="Q37" s="62" t="n">
        <f aca="false">Engagements!Q78+Engagements!Q248+Engagements!Q367+Engagements!Q426</f>
        <v>110739.823483554</v>
      </c>
      <c r="R37" s="62" t="n">
        <f aca="false">Engagements!R78+Engagements!R248+Engagements!R367+Engagements!R426</f>
        <v>114200.442967415</v>
      </c>
      <c r="S37" s="62" t="n">
        <f aca="false">Engagements!S78+Engagements!S248+Engagements!S367+Engagements!S426</f>
        <v>68050.9780151314</v>
      </c>
      <c r="T37" s="62" t="n">
        <f aca="false">Engagements!T78+Engagements!T248+Engagements!T367+Engagements!T426</f>
        <v>42933.6950521818</v>
      </c>
      <c r="U37" s="62" t="n">
        <f aca="false">Engagements!U78+Engagements!U248+Engagements!U367+Engagements!U426</f>
        <v>0</v>
      </c>
      <c r="V37" s="62" t="n">
        <f aca="false">Engagements!V78+Engagements!V248+Engagements!V367+Engagements!V426</f>
        <v>0</v>
      </c>
      <c r="W37" s="62" t="n">
        <f aca="false">Engagements!W78+Engagements!W248+Engagements!W367+Engagements!W426</f>
        <v>0</v>
      </c>
      <c r="X37" s="62" t="n">
        <f aca="false">Engagements!X78+Engagements!X248+Engagements!X367+Engagements!X426</f>
        <v>0</v>
      </c>
      <c r="Y37" s="62" t="n">
        <f aca="false">Engagements!Y78+Engagements!Y248+Engagements!Y367+Engagements!Y426</f>
        <v>0</v>
      </c>
      <c r="Z37" s="62" t="n">
        <f aca="false">Engagements!Z78+Engagements!Z248+Engagements!Z367+Engagements!Z426</f>
        <v>0</v>
      </c>
      <c r="AA37" s="62" t="n">
        <f aca="false">Engagements!AA78+Engagements!AA248+Engagements!AA367+Engagements!AA426</f>
        <v>0</v>
      </c>
      <c r="AB37" s="62" t="n">
        <f aca="false">Engagements!AB78+Engagements!AB248+Engagements!AB367+Engagements!AB426</f>
        <v>0</v>
      </c>
    </row>
    <row r="38" customFormat="false" ht="15" hidden="false" customHeight="false" outlineLevel="0" collapsed="false">
      <c r="A38" s="29" t="s">
        <v>498</v>
      </c>
      <c r="B38" s="60" t="s">
        <v>51</v>
      </c>
      <c r="C38" s="61" t="n">
        <f aca="false">SUM(E38:P38)</f>
        <v>46787.9188196275</v>
      </c>
      <c r="D38" s="61" t="n">
        <f aca="false">SUM(Q38:AB38)</f>
        <v>13725.7091157837</v>
      </c>
      <c r="E38" s="62" t="n">
        <f aca="false">Engagements!E82+Engagements!E252+Engagements!E371</f>
        <v>4802.24</v>
      </c>
      <c r="F38" s="62" t="n">
        <f aca="false">Engagements!F82+Engagements!F252+Engagements!F371</f>
        <v>3891.79</v>
      </c>
      <c r="G38" s="62" t="n">
        <f aca="false">Engagements!G82+Engagements!G252+Engagements!G371</f>
        <v>4040.9</v>
      </c>
      <c r="H38" s="62" t="n">
        <f aca="false">Engagements!H82+Engagements!H252+Engagements!H371</f>
        <v>4247.23</v>
      </c>
      <c r="I38" s="62" t="n">
        <f aca="false">Engagements!I82+Engagements!I252+Engagements!I371</f>
        <v>2718.59</v>
      </c>
      <c r="J38" s="62" t="n">
        <f aca="false">Engagements!J82+Engagements!J252+Engagements!J371</f>
        <v>4738.61</v>
      </c>
      <c r="K38" s="62" t="n">
        <f aca="false">Engagements!K82+Engagements!K252+Engagements!K371</f>
        <v>3099.03</v>
      </c>
      <c r="L38" s="62" t="n">
        <f aca="false">Engagements!L82+Engagements!L252+Engagements!L371</f>
        <v>2367.11</v>
      </c>
      <c r="M38" s="62" t="n">
        <f aca="false">Engagements!M82+Engagements!M252+Engagements!M371</f>
        <v>3261.89228250702</v>
      </c>
      <c r="N38" s="62" t="n">
        <f aca="false">Engagements!N82+Engagements!N252+Engagements!N371</f>
        <v>3142.34649204864</v>
      </c>
      <c r="O38" s="62" t="n">
        <f aca="false">Engagements!O82+Engagements!O252+Engagements!O371</f>
        <v>5168.09964282677</v>
      </c>
      <c r="P38" s="62" t="n">
        <f aca="false">Engagements!P82+Engagements!P252+Engagements!P371</f>
        <v>5310.08040224509</v>
      </c>
      <c r="Q38" s="62" t="n">
        <f aca="false">Engagements!Q82+Engagements!Q252+Engagements!Q371</f>
        <v>4679.68583042776</v>
      </c>
      <c r="R38" s="62" t="n">
        <f aca="false">Engagements!R82+Engagements!R252+Engagements!R371</f>
        <v>4825.92601262863</v>
      </c>
      <c r="S38" s="62" t="n">
        <f aca="false">Engagements!S82+Engagements!S252+Engagements!S371</f>
        <v>2063.41772727273</v>
      </c>
      <c r="T38" s="62" t="n">
        <f aca="false">Engagements!T82+Engagements!T252+Engagements!T371</f>
        <v>2156.67954545455</v>
      </c>
      <c r="U38" s="62" t="n">
        <f aca="false">Engagements!U82+Engagements!U252+Engagements!U371</f>
        <v>0</v>
      </c>
      <c r="V38" s="62" t="n">
        <f aca="false">Engagements!V82+Engagements!V252+Engagements!V371</f>
        <v>0</v>
      </c>
      <c r="W38" s="62" t="n">
        <f aca="false">Engagements!W82+Engagements!W252+Engagements!W371</f>
        <v>0</v>
      </c>
      <c r="X38" s="62" t="n">
        <f aca="false">Engagements!X82+Engagements!X252+Engagements!X371</f>
        <v>0</v>
      </c>
      <c r="Y38" s="62" t="n">
        <f aca="false">Engagements!Y82+Engagements!Y252+Engagements!Y371</f>
        <v>0</v>
      </c>
      <c r="Z38" s="62" t="n">
        <f aca="false">Engagements!Z82+Engagements!Z252+Engagements!Z371</f>
        <v>0</v>
      </c>
      <c r="AA38" s="62" t="n">
        <f aca="false">Engagements!AA82+Engagements!AA252+Engagements!AA371</f>
        <v>0</v>
      </c>
      <c r="AB38" s="62" t="n">
        <f aca="false">Engagements!AB82+Engagements!AB252+Engagements!AB371</f>
        <v>0</v>
      </c>
    </row>
    <row r="39" customFormat="false" ht="15" hidden="false" customHeight="false" outlineLevel="0" collapsed="false">
      <c r="A39" s="68" t="s">
        <v>351</v>
      </c>
      <c r="B39" s="69"/>
      <c r="C39" s="70" t="n">
        <f aca="false">SUM(E39:P39)</f>
        <v>1024360.72613678</v>
      </c>
      <c r="D39" s="70" t="n">
        <f aca="false">SUM(Q39:AB39)</f>
        <v>349650.648634065</v>
      </c>
      <c r="E39" s="70" t="n">
        <f aca="false">E37+E38</f>
        <v>91974.65</v>
      </c>
      <c r="F39" s="70" t="n">
        <f aca="false">F37+F38</f>
        <v>93621.61</v>
      </c>
      <c r="G39" s="70" t="n">
        <f aca="false">G37+G38</f>
        <v>98970.66</v>
      </c>
      <c r="H39" s="70" t="n">
        <f aca="false">H37+H38</f>
        <v>95167.97</v>
      </c>
      <c r="I39" s="70" t="n">
        <f aca="false">I37+I38</f>
        <v>79200.81</v>
      </c>
      <c r="J39" s="70" t="n">
        <f aca="false">J37+J38</f>
        <v>102224.9</v>
      </c>
      <c r="K39" s="70" t="n">
        <f aca="false">K37+K38</f>
        <v>60118.62</v>
      </c>
      <c r="L39" s="70" t="n">
        <f aca="false">L37+L38</f>
        <v>48026.69</v>
      </c>
      <c r="M39" s="70" t="n">
        <f aca="false">M37+M38</f>
        <v>60461.5493757465</v>
      </c>
      <c r="N39" s="70" t="n">
        <f aca="false">N37+N38</f>
        <v>59750.8838665861</v>
      </c>
      <c r="O39" s="70" t="n">
        <f aca="false">O37+O38</f>
        <v>101774.281607602</v>
      </c>
      <c r="P39" s="70" t="n">
        <f aca="false">P37+P38</f>
        <v>133068.101286848</v>
      </c>
      <c r="Q39" s="70" t="n">
        <f aca="false">Q37+Q38</f>
        <v>115419.509313981</v>
      </c>
      <c r="R39" s="70" t="n">
        <f aca="false">R37+R38</f>
        <v>119026.368980043</v>
      </c>
      <c r="S39" s="70" t="n">
        <f aca="false">S37+S38</f>
        <v>70114.3957424042</v>
      </c>
      <c r="T39" s="70" t="n">
        <f aca="false">T37+T38</f>
        <v>45090.3745976364</v>
      </c>
      <c r="U39" s="70" t="n">
        <f aca="false">U37+U38</f>
        <v>0</v>
      </c>
      <c r="V39" s="70" t="n">
        <f aca="false">V37+V38</f>
        <v>0</v>
      </c>
      <c r="W39" s="70" t="n">
        <f aca="false">W37+W38</f>
        <v>0</v>
      </c>
      <c r="X39" s="70" t="n">
        <f aca="false">X37+X38</f>
        <v>0</v>
      </c>
      <c r="Y39" s="70" t="n">
        <f aca="false">Y37+Y38</f>
        <v>0</v>
      </c>
      <c r="Z39" s="70" t="n">
        <f aca="false">Z37+Z38</f>
        <v>0</v>
      </c>
      <c r="AA39" s="70" t="n">
        <f aca="false">AA37+AA38</f>
        <v>0</v>
      </c>
      <c r="AB39" s="70" t="n">
        <f aca="false">AB37+AB38</f>
        <v>0</v>
      </c>
    </row>
    <row r="40" customFormat="false" ht="15" hidden="false" customHeight="false" outlineLevel="0" collapsed="false">
      <c r="A40" s="29" t="s">
        <v>901</v>
      </c>
      <c r="B40" s="60" t="s">
        <v>51</v>
      </c>
      <c r="C40" s="66" t="n">
        <f aca="false">SUM(E40:P40)</f>
        <v>5362.10506312122</v>
      </c>
      <c r="D40" s="66" t="n">
        <f aca="false">SUM(Q40:AB40)</f>
        <v>1818.32993687878</v>
      </c>
      <c r="E40" s="67" t="n">
        <f aca="false">Engagements!E11+Engagements!E22+Engagements!E30+Engagements!E34</f>
        <v>475.7</v>
      </c>
      <c r="F40" s="67" t="n">
        <f aca="false">Engagements!F11+Engagements!F22+Engagements!F30+Engagements!F34</f>
        <v>486.4</v>
      </c>
      <c r="G40" s="67" t="n">
        <f aca="false">Engagements!G11+Engagements!G22+Engagements!G30+Engagements!G34</f>
        <v>513.4</v>
      </c>
      <c r="H40" s="67" t="n">
        <f aca="false">Engagements!H11+Engagements!H22+Engagements!H30+Engagements!H34</f>
        <v>497.8</v>
      </c>
      <c r="I40" s="67" t="n">
        <f aca="false">Engagements!I11+Engagements!I22+Engagements!I30+Engagements!I34</f>
        <v>415.3</v>
      </c>
      <c r="J40" s="67" t="n">
        <f aca="false">Engagements!J11+Engagements!J22+Engagements!J30+Engagements!J34</f>
        <v>528.8</v>
      </c>
      <c r="K40" s="67" t="n">
        <f aca="false">Engagements!K11+Engagements!K22+Engagements!K30+Engagements!K34</f>
        <v>311.7</v>
      </c>
      <c r="L40" s="67" t="n">
        <f aca="false">Engagements!L11+Engagements!L22+Engagements!L30+Engagements!L34</f>
        <v>249.6</v>
      </c>
      <c r="M40" s="67" t="n">
        <f aca="false">Engagements!M11+Engagements!M22+Engagements!M30+Engagements!M34</f>
        <v>326.189228250702</v>
      </c>
      <c r="N40" s="67" t="n">
        <f aca="false">Engagements!N11+Engagements!N22+Engagements!N30+Engagements!N34</f>
        <v>314.234649204864</v>
      </c>
      <c r="O40" s="67" t="n">
        <f aca="false">Engagements!O11+Engagements!O22+Engagements!O30+Engagements!O34</f>
        <v>539.697843070556</v>
      </c>
      <c r="P40" s="67" t="n">
        <f aca="false">Engagements!P11+Engagements!P22+Engagements!P30+Engagements!P34</f>
        <v>703.283342595094</v>
      </c>
      <c r="Q40" s="67" t="n">
        <f aca="false">Engagements!Q11+Engagements!Q22+Engagements!Q30+Engagements!Q34</f>
        <v>601.739758370134</v>
      </c>
      <c r="R40" s="67" t="n">
        <f aca="false">Engagements!R11+Engagements!R22+Engagements!R30+Engagements!R34</f>
        <v>620.544125819201</v>
      </c>
      <c r="S40" s="67" t="n">
        <f aca="false">Engagements!S11+Engagements!S22+Engagements!S30+Engagements!S34</f>
        <v>363.394537537934</v>
      </c>
      <c r="T40" s="67" t="n">
        <f aca="false">Engagements!T11+Engagements!T22+Engagements!T30+Engagements!T34</f>
        <v>232.651515151515</v>
      </c>
      <c r="U40" s="67" t="n">
        <f aca="false">Engagements!U11+Engagements!U22+Engagements!U30+Engagements!U34</f>
        <v>0</v>
      </c>
      <c r="V40" s="67" t="n">
        <f aca="false">Engagements!V11+Engagements!V22+Engagements!V30+Engagements!V34</f>
        <v>0</v>
      </c>
      <c r="W40" s="67" t="n">
        <f aca="false">Engagements!W11+Engagements!W22+Engagements!W30+Engagements!W34</f>
        <v>0</v>
      </c>
      <c r="X40" s="67" t="n">
        <f aca="false">Engagements!X11+Engagements!X22+Engagements!X30+Engagements!X34</f>
        <v>0</v>
      </c>
      <c r="Y40" s="67" t="n">
        <f aca="false">Engagements!Y11+Engagements!Y22+Engagements!Y30+Engagements!Y34</f>
        <v>0</v>
      </c>
      <c r="Z40" s="67" t="n">
        <f aca="false">Engagements!Z11+Engagements!Z22+Engagements!Z30+Engagements!Z34</f>
        <v>0</v>
      </c>
      <c r="AA40" s="67" t="n">
        <f aca="false">Engagements!AA11+Engagements!AA22+Engagements!AA30+Engagements!AA34</f>
        <v>0</v>
      </c>
      <c r="AB40" s="67" t="n">
        <f aca="false">Engagements!AB11+Engagements!AB22+Engagements!AB30+Engagements!AB34</f>
        <v>0</v>
      </c>
    </row>
    <row r="41" customFormat="false" ht="15" hidden="false" customHeight="false" outlineLevel="0" collapsed="false">
      <c r="A41" s="29" t="s">
        <v>833</v>
      </c>
      <c r="B41" s="60" t="s">
        <v>51</v>
      </c>
      <c r="C41" s="61" t="n">
        <f aca="false">SUM(E41:P41)</f>
        <v>1078662.75640941</v>
      </c>
      <c r="D41" s="61" t="n">
        <f aca="false">SUM(Q41:AB41)</f>
        <v>376083.737214212</v>
      </c>
      <c r="E41" s="62" t="n">
        <f aca="false">Engagements!E76+Engagements!E244+Engagements!E365+Engagements!E423</f>
        <v>97233.08</v>
      </c>
      <c r="F41" s="62" t="n">
        <f aca="false">Engagements!F76+Engagements!F244+Engagements!F365+Engagements!F423</f>
        <v>99420.16</v>
      </c>
      <c r="G41" s="62" t="n">
        <f aca="false">Engagements!G76+Engagements!G244+Engagements!G365+Engagements!G423</f>
        <v>104938.96</v>
      </c>
      <c r="H41" s="62" t="n">
        <f aca="false">Engagements!H76+Engagements!H244+Engagements!H365+Engagements!H423</f>
        <v>101750.32</v>
      </c>
      <c r="I41" s="62" t="n">
        <f aca="false">Engagements!I76+Engagements!I244+Engagements!I365+Engagements!I423</f>
        <v>84887.32</v>
      </c>
      <c r="J41" s="62" t="n">
        <f aca="false">Engagements!J76+Engagements!J244+Engagements!J365+Engagements!J423</f>
        <v>108086.72</v>
      </c>
      <c r="K41" s="62" t="n">
        <f aca="false">Engagements!K76+Engagements!K244+Engagements!K365+Engagements!K423</f>
        <v>61311.39</v>
      </c>
      <c r="L41" s="62" t="n">
        <f aca="false">Engagements!L76+Engagements!L244+Engagements!L365+Engagements!L423</f>
        <v>49096.32</v>
      </c>
      <c r="M41" s="62" t="n">
        <f aca="false">Engagements!M76+Engagements!M244+Engagements!M365+Engagements!M423</f>
        <v>64161.421196913</v>
      </c>
      <c r="N41" s="62" t="n">
        <f aca="false">Engagements!N76+Engagements!N244+Engagements!N365+Engagements!N423</f>
        <v>61809.9554985968</v>
      </c>
      <c r="O41" s="62" t="n">
        <f aca="false">Engagements!O76+Engagements!O244+Engagements!O365+Engagements!O423</f>
        <v>106158.565731978</v>
      </c>
      <c r="P41" s="62" t="n">
        <f aca="false">Engagements!P76+Engagements!P244+Engagements!P365+Engagements!P423</f>
        <v>139808.543981924</v>
      </c>
      <c r="Q41" s="62" t="n">
        <f aca="false">Engagements!Q76+Engagements!Q244+Engagements!Q365+Engagements!Q423</f>
        <v>124407.174965733</v>
      </c>
      <c r="R41" s="62" t="n">
        <f aca="false">Engagements!R76+Engagements!R244+Engagements!R365+Engagements!R423</f>
        <v>128294.899183412</v>
      </c>
      <c r="S41" s="62" t="n">
        <f aca="false">Engagements!S76+Engagements!S244+Engagements!S365+Engagements!S423</f>
        <v>75788.6079135506</v>
      </c>
      <c r="T41" s="62" t="n">
        <f aca="false">Engagements!T76+Engagements!T244+Engagements!T365+Engagements!T423</f>
        <v>47593.0551515152</v>
      </c>
      <c r="U41" s="62" t="n">
        <f aca="false">Engagements!U76+Engagements!U244+Engagements!U365+Engagements!U423</f>
        <v>0</v>
      </c>
      <c r="V41" s="62" t="n">
        <f aca="false">Engagements!V76+Engagements!V244+Engagements!V365+Engagements!V423</f>
        <v>0</v>
      </c>
      <c r="W41" s="62" t="n">
        <f aca="false">Engagements!W76+Engagements!W244+Engagements!W365+Engagements!W423</f>
        <v>0</v>
      </c>
      <c r="X41" s="62" t="n">
        <f aca="false">Engagements!X76+Engagements!X244+Engagements!X365+Engagements!X423</f>
        <v>0</v>
      </c>
      <c r="Y41" s="62" t="n">
        <f aca="false">Engagements!Y76+Engagements!Y244+Engagements!Y365+Engagements!Y423</f>
        <v>0</v>
      </c>
      <c r="Z41" s="62" t="n">
        <f aca="false">Engagements!Z76+Engagements!Z244+Engagements!Z365+Engagements!Z423</f>
        <v>0</v>
      </c>
      <c r="AA41" s="62" t="n">
        <f aca="false">Engagements!AA76+Engagements!AA244+Engagements!AA365+Engagements!AA423</f>
        <v>0</v>
      </c>
      <c r="AB41" s="62" t="n">
        <f aca="false">Engagements!AB76+Engagements!AB244+Engagements!AB365+Engagements!AB423</f>
        <v>0</v>
      </c>
    </row>
    <row r="42" customFormat="false" ht="15" hidden="false" customHeight="false" outlineLevel="0" collapsed="false">
      <c r="A42" s="29" t="s">
        <v>716</v>
      </c>
      <c r="B42" s="60" t="s">
        <v>51</v>
      </c>
      <c r="C42" s="61" t="n">
        <f aca="false">SUM(E42:P42)</f>
        <v>1030008.99170858</v>
      </c>
      <c r="D42" s="61" t="n">
        <f aca="false">SUM(Q42:AB42)</f>
        <v>447008.353062265</v>
      </c>
      <c r="E42" s="62" t="n">
        <f aca="false">Engagements!E79+Engagements!E249+Engagements!E368+Engagements!E428+Engagements!E83+Engagements!E253+Engagements!E372</f>
        <v>103005.97</v>
      </c>
      <c r="F42" s="62" t="n">
        <f aca="false">Engagements!F79+Engagements!F249+Engagements!F368+Engagements!F428+Engagements!F83+Engagements!F253+Engagements!F372</f>
        <v>91974.65</v>
      </c>
      <c r="G42" s="62" t="n">
        <f aca="false">Engagements!G79+Engagements!G249+Engagements!G368+Engagements!G428+Engagements!G83+Engagements!G253+Engagements!G372</f>
        <v>93621.61</v>
      </c>
      <c r="H42" s="62" t="n">
        <f aca="false">Engagements!H79+Engagements!H249+Engagements!H368+Engagements!H428+Engagements!H83+Engagements!H253+Engagements!H372</f>
        <v>98970.66</v>
      </c>
      <c r="I42" s="62" t="n">
        <f aca="false">Engagements!I79+Engagements!I249+Engagements!I368+Engagements!I428+Engagements!I83+Engagements!I253+Engagements!I372</f>
        <v>95167.97</v>
      </c>
      <c r="J42" s="62" t="n">
        <f aca="false">Engagements!J79+Engagements!J249+Engagements!J368+Engagements!J428+Engagements!J83+Engagements!J253+Engagements!J372</f>
        <v>79200.81</v>
      </c>
      <c r="K42" s="62" t="n">
        <f aca="false">Engagements!K79+Engagements!K249+Engagements!K368+Engagements!K428+Engagements!K83+Engagements!K253+Engagements!K372</f>
        <v>102224.9</v>
      </c>
      <c r="L42" s="62" t="n">
        <f aca="false">Engagements!L79+Engagements!L249+Engagements!L368+Engagements!L428+Engagements!L83+Engagements!L253+Engagements!L372</f>
        <v>60118.62</v>
      </c>
      <c r="M42" s="62" t="n">
        <f aca="false">Engagements!M79+Engagements!M249+Engagements!M368+Engagements!M428+Engagements!M83+Engagements!M253+Engagements!M372</f>
        <v>48026.6876</v>
      </c>
      <c r="N42" s="62" t="n">
        <f aca="false">Engagements!N79+Engagements!N249+Engagements!N368+Engagements!N428+Engagements!N83+Engagements!N253+Engagements!N372</f>
        <v>62932.0139956361</v>
      </c>
      <c r="O42" s="62" t="n">
        <f aca="false">Engagements!O79+Engagements!O249+Engagements!O368+Engagements!O428+Engagements!O83+Engagements!O253+Engagements!O372</f>
        <v>60625.6051057437</v>
      </c>
      <c r="P42" s="62" t="n">
        <f aca="false">Engagements!P79+Engagements!P249+Engagements!P368+Engagements!P428+Engagements!P83+Engagements!P253+Engagements!P372</f>
        <v>134139.495007203</v>
      </c>
      <c r="Q42" s="62" t="n">
        <f aca="false">Engagements!Q79+Engagements!Q249+Engagements!Q368+Engagements!Q428+Engagements!Q83+Engagements!Q253+Engagements!Q372</f>
        <v>105459.261353555</v>
      </c>
      <c r="R42" s="62" t="n">
        <f aca="false">Engagements!R79+Engagements!R249+Engagements!R368+Engagements!R428+Engagements!R83+Engagements!R253+Engagements!R372</f>
        <v>135796.390163572</v>
      </c>
      <c r="S42" s="62" t="n">
        <f aca="false">Engagements!S79+Engagements!S249+Engagements!S368+Engagements!S428+Engagements!S83+Engagements!S253+Engagements!S372</f>
        <v>117521.80638652</v>
      </c>
      <c r="T42" s="62" t="n">
        <f aca="false">Engagements!T79+Engagements!T249+Engagements!T368+Engagements!T428+Engagements!T83+Engagements!T253+Engagements!T372</f>
        <v>43140.5205609818</v>
      </c>
      <c r="U42" s="62" t="n">
        <f aca="false">Engagements!U79+Engagements!U249+Engagements!U368+Engagements!U428+Engagements!U83+Engagements!U253+Engagements!U372</f>
        <v>45090.3745976364</v>
      </c>
      <c r="V42" s="62" t="n">
        <f aca="false">Engagements!V79+Engagements!V249+Engagements!V368+Engagements!V428+Engagements!V83+Engagements!V253+Engagements!V372</f>
        <v>0</v>
      </c>
      <c r="W42" s="62" t="n">
        <f aca="false">Engagements!W79+Engagements!W249+Engagements!W368+Engagements!W428+Engagements!W83+Engagements!W253+Engagements!W372</f>
        <v>0</v>
      </c>
      <c r="X42" s="62" t="n">
        <f aca="false">Engagements!X79+Engagements!X249+Engagements!X368+Engagements!X428+Engagements!X83+Engagements!X253+Engagements!X372</f>
        <v>0</v>
      </c>
      <c r="Y42" s="62" t="n">
        <f aca="false">Engagements!Y79+Engagements!Y249+Engagements!Y368+Engagements!Y428+Engagements!Y83+Engagements!Y253+Engagements!Y372</f>
        <v>0</v>
      </c>
      <c r="Z42" s="62" t="n">
        <f aca="false">Engagements!Z79+Engagements!Z249+Engagements!Z368+Engagements!Z428+Engagements!Z83+Engagements!Z253+Engagements!Z372</f>
        <v>0</v>
      </c>
      <c r="AA42" s="62" t="n">
        <f aca="false">Engagements!AA79+Engagements!AA249+Engagements!AA368+Engagements!AA428+Engagements!AA83+Engagements!AA253+Engagements!AA372</f>
        <v>0</v>
      </c>
      <c r="AB42" s="62" t="n">
        <f aca="false">Engagements!AB79+Engagements!AB249+Engagements!AB368+Engagements!AB428+Engagements!AB83+Engagements!AB253+Engagements!AB372</f>
        <v>0</v>
      </c>
    </row>
    <row r="43" customFormat="false" ht="15" hidden="false" customHeight="false" outlineLevel="0" collapsed="false">
      <c r="A43" s="29" t="s">
        <v>949</v>
      </c>
      <c r="B43" s="60" t="s">
        <v>950</v>
      </c>
      <c r="C43" s="61" t="n">
        <f aca="false">SUM(E43:P43)</f>
        <v>195701.708424631</v>
      </c>
      <c r="D43" s="61" t="n">
        <f aca="false">SUM(Q43:AB43)</f>
        <v>84931.5870818303</v>
      </c>
      <c r="E43" s="62" t="n">
        <f aca="false">E42*Client_Register!$E$9</f>
        <v>19571.1343</v>
      </c>
      <c r="F43" s="62" t="n">
        <f aca="false">F42*Client_Register!$E$9</f>
        <v>17475.1835</v>
      </c>
      <c r="G43" s="62" t="n">
        <f aca="false">G42*Client_Register!$E$9</f>
        <v>17788.1059</v>
      </c>
      <c r="H43" s="62" t="n">
        <f aca="false">H42*Client_Register!$E$9</f>
        <v>18804.4254</v>
      </c>
      <c r="I43" s="62" t="n">
        <f aca="false">I42*Client_Register!$E$9</f>
        <v>18081.9143</v>
      </c>
      <c r="J43" s="62" t="n">
        <f aca="false">J42*Client_Register!$E$9</f>
        <v>15048.1539</v>
      </c>
      <c r="K43" s="62" t="n">
        <f aca="false">K42*Client_Register!$E$9</f>
        <v>19422.731</v>
      </c>
      <c r="L43" s="62" t="n">
        <f aca="false">L42*Client_Register!$E$9</f>
        <v>11422.5378</v>
      </c>
      <c r="M43" s="62" t="n">
        <f aca="false">M42*Client_Register!$E$9</f>
        <v>9125.070644</v>
      </c>
      <c r="N43" s="62" t="n">
        <f aca="false">N42*Client_Register!$E$9</f>
        <v>11957.0826591709</v>
      </c>
      <c r="O43" s="62" t="n">
        <f aca="false">O42*Client_Register!$E$9</f>
        <v>11518.8649700913</v>
      </c>
      <c r="P43" s="62" t="n">
        <f aca="false">P42*Client_Register!$E$9</f>
        <v>25486.5040513686</v>
      </c>
      <c r="Q43" s="62" t="n">
        <f aca="false">Q42*Client_Register!$E$9</f>
        <v>20037.2596571754</v>
      </c>
      <c r="R43" s="62" t="n">
        <f aca="false">R42*Client_Register!$E$9</f>
        <v>25801.3141310786</v>
      </c>
      <c r="S43" s="62" t="n">
        <f aca="false">S42*Client_Register!$E$9</f>
        <v>22329.1432134388</v>
      </c>
      <c r="T43" s="62" t="n">
        <f aca="false">T42*Client_Register!$E$9</f>
        <v>8196.69890658655</v>
      </c>
      <c r="U43" s="62" t="n">
        <f aca="false">U42*Client_Register!$E$9</f>
        <v>8567.17117355091</v>
      </c>
      <c r="V43" s="62" t="n">
        <f aca="false">V42*Client_Register!$E$9</f>
        <v>0</v>
      </c>
      <c r="W43" s="62" t="n">
        <f aca="false">W42*Client_Register!$E$9</f>
        <v>0</v>
      </c>
      <c r="X43" s="62" t="n">
        <f aca="false">X42*Client_Register!$E$9</f>
        <v>0</v>
      </c>
      <c r="Y43" s="62" t="n">
        <f aca="false">Y42*Client_Register!$E$9</f>
        <v>0</v>
      </c>
      <c r="Z43" s="62" t="n">
        <f aca="false">Z42*Client_Register!$E$9</f>
        <v>0</v>
      </c>
      <c r="AA43" s="62" t="n">
        <f aca="false">AA42*Client_Register!$E$9</f>
        <v>0</v>
      </c>
      <c r="AB43" s="62" t="n">
        <f aca="false">AB42*Client_Register!$E$9</f>
        <v>0</v>
      </c>
    </row>
    <row r="44" customFormat="false" ht="15" hidden="false" customHeight="false" outlineLevel="0" collapsed="false">
      <c r="A44" s="68" t="s">
        <v>951</v>
      </c>
      <c r="B44" s="69"/>
      <c r="C44" s="70" t="n">
        <f aca="false">SUM(E44:P44)</f>
        <v>1225710.70013321</v>
      </c>
      <c r="D44" s="70" t="n">
        <f aca="false">SUM(Q44:AB44)</f>
        <v>531939.940144095</v>
      </c>
      <c r="E44" s="70" t="n">
        <f aca="false">E42+E43</f>
        <v>122577.1043</v>
      </c>
      <c r="F44" s="70" t="n">
        <f aca="false">F42+F43</f>
        <v>109449.8335</v>
      </c>
      <c r="G44" s="70" t="n">
        <f aca="false">G42+G43</f>
        <v>111409.7159</v>
      </c>
      <c r="H44" s="70" t="n">
        <f aca="false">H42+H43</f>
        <v>117775.0854</v>
      </c>
      <c r="I44" s="70" t="n">
        <f aca="false">I42+I43</f>
        <v>113249.8843</v>
      </c>
      <c r="J44" s="70" t="n">
        <f aca="false">J42+J43</f>
        <v>94248.9639</v>
      </c>
      <c r="K44" s="70" t="n">
        <f aca="false">K42+K43</f>
        <v>121647.631</v>
      </c>
      <c r="L44" s="70" t="n">
        <f aca="false">L42+L43</f>
        <v>71541.1578</v>
      </c>
      <c r="M44" s="70" t="n">
        <f aca="false">M42+M43</f>
        <v>57151.758244</v>
      </c>
      <c r="N44" s="70" t="n">
        <f aca="false">N42+N43</f>
        <v>74889.096654807</v>
      </c>
      <c r="O44" s="70" t="n">
        <f aca="false">O42+O43</f>
        <v>72144.470075835</v>
      </c>
      <c r="P44" s="70" t="n">
        <f aca="false">P42+P43</f>
        <v>159625.999058572</v>
      </c>
      <c r="Q44" s="70" t="n">
        <f aca="false">Q42+Q43</f>
        <v>125496.52101073</v>
      </c>
      <c r="R44" s="70" t="n">
        <f aca="false">R42+R43</f>
        <v>161597.70429465</v>
      </c>
      <c r="S44" s="70" t="n">
        <f aca="false">S42+S43</f>
        <v>139850.949599959</v>
      </c>
      <c r="T44" s="70" t="n">
        <f aca="false">T42+T43</f>
        <v>51337.2194675684</v>
      </c>
      <c r="U44" s="70" t="n">
        <f aca="false">U42+U43</f>
        <v>53657.5457711873</v>
      </c>
      <c r="V44" s="70" t="n">
        <f aca="false">V42+V43</f>
        <v>0</v>
      </c>
      <c r="W44" s="70" t="n">
        <f aca="false">W42+W43</f>
        <v>0</v>
      </c>
      <c r="X44" s="70" t="n">
        <f aca="false">X42+X43</f>
        <v>0</v>
      </c>
      <c r="Y44" s="70" t="n">
        <f aca="false">Y42+Y43</f>
        <v>0</v>
      </c>
      <c r="Z44" s="70" t="n">
        <f aca="false">Z42+Z43</f>
        <v>0</v>
      </c>
      <c r="AA44" s="70" t="n">
        <f aca="false">AA42+AA43</f>
        <v>0</v>
      </c>
      <c r="AB44" s="70" t="n">
        <f aca="false">AB42+AB43</f>
        <v>0</v>
      </c>
    </row>
    <row r="45" customFormat="false" ht="15" hidden="false" customHeight="false" outlineLevel="0" collapsed="false">
      <c r="A45" s="29" t="s">
        <v>952</v>
      </c>
      <c r="B45" s="60" t="s">
        <v>953</v>
      </c>
      <c r="C45" s="61" t="n">
        <f aca="false">SUM(E45:P45)</f>
        <v>1223653.61107464</v>
      </c>
      <c r="D45" s="61" t="n">
        <f aca="false">SUM(Q45:AB45)</f>
        <v>691565.939202667</v>
      </c>
      <c r="E45" s="62" t="n">
        <f aca="false">IF(E$5="A",Inputs_Actuals!E106,Client_Register!$J$9+E44-(E44*MIN(1,Client_Register!$I$9/30)+0*MIN(1,MAX(0,(Client_Register!$I$9-30)/30))+0*MIN(1,MAX(0,(Client_Register!$I$9-60)/30))))</f>
        <v>152797.13</v>
      </c>
      <c r="F45" s="62" t="n">
        <f aca="false">IF(F$5="A",Inputs_Actuals!F106,E46+F44-(F44*MIN(1,Client_Register!$I$9/30)+E44*MIN(1,MAX(0,(Client_Register!$I$9-30)/30))+0*MIN(1,MAX(0,(Client_Register!$I$9-60)/30))))</f>
        <v>121284.36</v>
      </c>
      <c r="G45" s="62" t="n">
        <f aca="false">IF(G$5="A",Inputs_Actuals!G106,F46+G44-(G44*MIN(1,Client_Register!$I$9/30)+F44*MIN(1,MAX(0,(Client_Register!$I$9-30)/30))+E44*MIN(1,MAX(0,(Client_Register!$I$9-60)/30))))</f>
        <v>111025.85</v>
      </c>
      <c r="H45" s="62" t="n">
        <f aca="false">IF(H$5="A",Inputs_Actuals!H106,G46+H44-(H44*MIN(1,Client_Register!$I$9/30)+G44*MIN(1,MAX(0,(Client_Register!$I$9-30)/30))+F44*MIN(1,MAX(0,(Client_Register!$I$9-60)/30))))</f>
        <v>118671.81</v>
      </c>
      <c r="I45" s="62" t="n">
        <f aca="false">IF(I$5="A",Inputs_Actuals!I106,H46+I44-(I44*MIN(1,Client_Register!$I$9/30)+H44*MIN(1,MAX(0,(Client_Register!$I$9-30)/30))+G44*MIN(1,MAX(0,(Client_Register!$I$9-60)/30))))</f>
        <v>107807.15</v>
      </c>
      <c r="J45" s="62" t="n">
        <f aca="false">IF(J$5="A",Inputs_Actuals!J106,I46+J44-(J44*MIN(1,Client_Register!$I$9/30)+I44*MIN(1,MAX(0,(Client_Register!$I$9-30)/30))+H44*MIN(1,MAX(0,(Client_Register!$I$9-60)/30))))</f>
        <v>121274.69</v>
      </c>
      <c r="K45" s="62" t="n">
        <f aca="false">IF(K$5="A",Inputs_Actuals!K106,J46+K44-(K44*MIN(1,Client_Register!$I$9/30)+J44*MIN(1,MAX(0,(Client_Register!$I$9-30)/30))+I44*MIN(1,MAX(0,(Client_Register!$I$9-60)/30))))</f>
        <v>82190.7</v>
      </c>
      <c r="L45" s="62" t="n">
        <f aca="false">IF(L$5="A",Inputs_Actuals!L106,K46+L44-(L44*MIN(1,Client_Register!$I$9/30)+K44*MIN(1,MAX(0,(Client_Register!$I$9-30)/30))+J44*MIN(1,MAX(0,(Client_Register!$I$9-60)/30))))</f>
        <v>147268.76</v>
      </c>
      <c r="M45" s="62" t="n">
        <f aca="false">IF(M$5="A",Inputs_Actuals!M106,L46+M44-(M44*MIN(1,Client_Register!$I$9/30)+L44*MIN(1,MAX(0,(Client_Register!$I$9-30)/30))+K44*MIN(1,MAX(0,(Client_Register!$I$9-60)/30))))</f>
        <v>57147.8361</v>
      </c>
      <c r="N45" s="62" t="n">
        <f aca="false">IF(N$5="A",Inputs_Actuals!N106,M46+N44-(N44*MIN(1,Client_Register!$I$9/30)+M44*MIN(1,MAX(0,(Client_Register!$I$9-30)/30))+L44*MIN(1,MAX(0,(Client_Register!$I$9-60)/30))))</f>
        <v>57151.758244</v>
      </c>
      <c r="O45" s="62" t="n">
        <f aca="false">IF(O$5="A",Inputs_Actuals!O106,N46+O44-(O44*MIN(1,Client_Register!$I$9/30)+N44*MIN(1,MAX(0,(Client_Register!$I$9-30)/30))+M44*MIN(1,MAX(0,(Client_Register!$I$9-60)/30))))</f>
        <v>74889.096654807</v>
      </c>
      <c r="P45" s="62" t="n">
        <f aca="false">IF(P$5="A",Inputs_Actuals!P106,O46+P44-(P44*MIN(1,Client_Register!$I$9/30)+O44*MIN(1,MAX(0,(Client_Register!$I$9-30)/30))+N44*MIN(1,MAX(0,(Client_Register!$I$9-60)/30))))</f>
        <v>72144.470075835</v>
      </c>
      <c r="Q45" s="62" t="n">
        <f aca="false">IF(Q$5="A",Inputs_Actuals!Q106,P46+Q44-(Q44*MIN(1,Client_Register!$I$9/30)+P44*MIN(1,MAX(0,(Client_Register!$I$9-30)/30))+O44*MIN(1,MAX(0,(Client_Register!$I$9-60)/30))))</f>
        <v>159625.999058572</v>
      </c>
      <c r="R45" s="62" t="n">
        <f aca="false">IF(R$5="A",Inputs_Actuals!R106,Q46+R44-(R44*MIN(1,Client_Register!$I$9/30)+Q44*MIN(1,MAX(0,(Client_Register!$I$9-30)/30))+P44*MIN(1,MAX(0,(Client_Register!$I$9-60)/30))))</f>
        <v>125496.52101073</v>
      </c>
      <c r="S45" s="62" t="n">
        <f aca="false">IF(S$5="A",Inputs_Actuals!S106,R46+S44-(S44*MIN(1,Client_Register!$I$9/30)+R44*MIN(1,MAX(0,(Client_Register!$I$9-30)/30))+Q44*MIN(1,MAX(0,(Client_Register!$I$9-60)/30))))</f>
        <v>161597.70429465</v>
      </c>
      <c r="T45" s="62" t="n">
        <f aca="false">IF(T$5="A",Inputs_Actuals!T106,S46+T44-(T44*MIN(1,Client_Register!$I$9/30)+S44*MIN(1,MAX(0,(Client_Register!$I$9-30)/30))+R44*MIN(1,MAX(0,(Client_Register!$I$9-60)/30))))</f>
        <v>139850.949599959</v>
      </c>
      <c r="U45" s="62" t="n">
        <f aca="false">IF(U$5="A",Inputs_Actuals!U106,T46+U44-(U44*MIN(1,Client_Register!$I$9/30)+T44*MIN(1,MAX(0,(Client_Register!$I$9-30)/30))+S44*MIN(1,MAX(0,(Client_Register!$I$9-60)/30))))</f>
        <v>51337.2194675684</v>
      </c>
      <c r="V45" s="62" t="n">
        <f aca="false">IF(V$5="A",Inputs_Actuals!V106,U46+V44-(V44*MIN(1,Client_Register!$I$9/30)+U44*MIN(1,MAX(0,(Client_Register!$I$9-30)/30))+T44*MIN(1,MAX(0,(Client_Register!$I$9-60)/30))))</f>
        <v>53657.5457711873</v>
      </c>
      <c r="W45" s="62" t="n">
        <f aca="false">IF(W$5="A",Inputs_Actuals!W106,V46+W44-(W44*MIN(1,Client_Register!$I$9/30)+V44*MIN(1,MAX(0,(Client_Register!$I$9-30)/30))+U44*MIN(1,MAX(0,(Client_Register!$I$9-60)/30))))</f>
        <v>0</v>
      </c>
      <c r="X45" s="62" t="n">
        <f aca="false">IF(X$5="A",Inputs_Actuals!X106,W46+X44-(X44*MIN(1,Client_Register!$I$9/30)+W44*MIN(1,MAX(0,(Client_Register!$I$9-30)/30))+V44*MIN(1,MAX(0,(Client_Register!$I$9-60)/30))))</f>
        <v>0</v>
      </c>
      <c r="Y45" s="62" t="n">
        <f aca="false">IF(Y$5="A",Inputs_Actuals!Y106,X46+Y44-(Y44*MIN(1,Client_Register!$I$9/30)+X44*MIN(1,MAX(0,(Client_Register!$I$9-30)/30))+W44*MIN(1,MAX(0,(Client_Register!$I$9-60)/30))))</f>
        <v>0</v>
      </c>
      <c r="Z45" s="62" t="n">
        <f aca="false">IF(Z$5="A",Inputs_Actuals!Z106,Y46+Z44-(Z44*MIN(1,Client_Register!$I$9/30)+Y44*MIN(1,MAX(0,(Client_Register!$I$9-30)/30))+X44*MIN(1,MAX(0,(Client_Register!$I$9-60)/30))))</f>
        <v>0</v>
      </c>
      <c r="AA45" s="62" t="n">
        <f aca="false">IF(AA$5="A",Inputs_Actuals!AA106,Z46+AA44-(AA44*MIN(1,Client_Register!$I$9/30)+Z44*MIN(1,MAX(0,(Client_Register!$I$9-30)/30))+Y44*MIN(1,MAX(0,(Client_Register!$I$9-60)/30))))</f>
        <v>0</v>
      </c>
      <c r="AB45" s="62" t="n">
        <f aca="false">IF(AB$5="A",Inputs_Actuals!AB106,AA46+AB44-(AB44*MIN(1,Client_Register!$I$9/30)+AA44*MIN(1,MAX(0,(Client_Register!$I$9-30)/30))+Z44*MIN(1,MAX(0,(Client_Register!$I$9-60)/30))))</f>
        <v>0</v>
      </c>
    </row>
    <row r="46" customFormat="false" ht="15" hidden="false" customHeight="false" outlineLevel="0" collapsed="false">
      <c r="A46" s="68" t="s">
        <v>954</v>
      </c>
      <c r="B46" s="69" t="s">
        <v>955</v>
      </c>
      <c r="C46" s="70" t="n">
        <f aca="false">P46</f>
        <v>159625.999058572</v>
      </c>
      <c r="D46" s="70" t="n">
        <f aca="false">AB46</f>
        <v>0</v>
      </c>
      <c r="E46" s="74" t="n">
        <f aca="false">Client_Register!$J$9+E44-E45</f>
        <v>127348.8843</v>
      </c>
      <c r="F46" s="70" t="n">
        <f aca="false">E46+F44-F45</f>
        <v>115514.3578</v>
      </c>
      <c r="G46" s="70" t="n">
        <f aca="false">F46+G44-G45</f>
        <v>115898.2237</v>
      </c>
      <c r="H46" s="70" t="n">
        <f aca="false">G46+H44-H45</f>
        <v>115001.4991</v>
      </c>
      <c r="I46" s="70" t="n">
        <f aca="false">H46+I44-I45</f>
        <v>120444.2334</v>
      </c>
      <c r="J46" s="70" t="n">
        <f aca="false">I46+J44-J45</f>
        <v>93418.5073</v>
      </c>
      <c r="K46" s="70" t="n">
        <f aca="false">J46+K44-K45</f>
        <v>132875.4383</v>
      </c>
      <c r="L46" s="70" t="n">
        <f aca="false">K46+L44-L45</f>
        <v>57147.8361</v>
      </c>
      <c r="M46" s="70" t="n">
        <f aca="false">L46+M44-M45</f>
        <v>57151.758244</v>
      </c>
      <c r="N46" s="70" t="n">
        <f aca="false">M46+N44-N45</f>
        <v>74889.096654807</v>
      </c>
      <c r="O46" s="70" t="n">
        <f aca="false">N46+O44-O45</f>
        <v>72144.470075835</v>
      </c>
      <c r="P46" s="70" t="n">
        <f aca="false">O46+P44-P45</f>
        <v>159625.999058572</v>
      </c>
      <c r="Q46" s="70" t="n">
        <f aca="false">P46+Q44-Q45</f>
        <v>125496.52101073</v>
      </c>
      <c r="R46" s="70" t="n">
        <f aca="false">Q46+R44-R45</f>
        <v>161597.70429465</v>
      </c>
      <c r="S46" s="70" t="n">
        <f aca="false">R46+S44-S45</f>
        <v>139850.949599959</v>
      </c>
      <c r="T46" s="70" t="n">
        <f aca="false">S46+T44-T45</f>
        <v>51337.2194675684</v>
      </c>
      <c r="U46" s="70" t="n">
        <f aca="false">T46+U44-U45</f>
        <v>53657.5457711873</v>
      </c>
      <c r="V46" s="70" t="n">
        <f aca="false">U46+V44-V45</f>
        <v>0</v>
      </c>
      <c r="W46" s="70" t="n">
        <f aca="false">V46+W44-W45</f>
        <v>0</v>
      </c>
      <c r="X46" s="70" t="n">
        <f aca="false">W46+X44-X45</f>
        <v>0</v>
      </c>
      <c r="Y46" s="70" t="n">
        <f aca="false">X46+Y44-Y45</f>
        <v>0</v>
      </c>
      <c r="Z46" s="70" t="n">
        <f aca="false">Y46+Z44-Z45</f>
        <v>0</v>
      </c>
      <c r="AA46" s="70" t="n">
        <f aca="false">Z46+AA44-AA45</f>
        <v>0</v>
      </c>
      <c r="AB46" s="70" t="n">
        <f aca="false">AA46+AB44-AB45</f>
        <v>0</v>
      </c>
    </row>
    <row r="47" customFormat="false" ht="15" hidden="false" customHeight="false" outlineLevel="0" collapsed="false">
      <c r="A47" s="29" t="s">
        <v>956</v>
      </c>
      <c r="B47" s="60"/>
      <c r="C47" s="66" t="n">
        <f aca="false">P47</f>
        <v>47.8889085869342</v>
      </c>
      <c r="D47" s="66" t="n">
        <f aca="false">AB47</f>
        <v>0</v>
      </c>
      <c r="E47" s="67" t="n">
        <f aca="false">IFERROR(E46/SUM(E44:E44)*SUM(Assumptions!E$191:E$191),0)</f>
        <v>32.2067929067566</v>
      </c>
      <c r="F47" s="67" t="n">
        <f aca="false">IFERROR(F46/SUM(E44:F44)*SUM(Assumptions!E$191:F$191),0)</f>
        <v>29.3730856202335</v>
      </c>
      <c r="G47" s="67" t="n">
        <f aca="false">IFERROR(G46/SUM(E44:G44)*SUM(Assumptions!E$191:G$191),0)</f>
        <v>30.3719478413961</v>
      </c>
      <c r="H47" s="67" t="n">
        <f aca="false">IFERROR(H46/SUM(F44:H44)*SUM(Assumptions!F$191:H$191),0)</f>
        <v>30.2247093713404</v>
      </c>
      <c r="I47" s="67" t="n">
        <f aca="false">IFERROR(I46/SUM(G44:I44)*SUM(Assumptions!G$191:I$191),0)</f>
        <v>32.3590744126418</v>
      </c>
      <c r="J47" s="67" t="n">
        <f aca="false">IFERROR(J46/SUM(H44:J44)*SUM(Assumptions!H$191:J$191),0)</f>
        <v>26.1351534388675</v>
      </c>
      <c r="K47" s="67" t="n">
        <f aca="false">IFERROR(K46/SUM(I44:K44)*SUM(Assumptions!I$191:K$191),0)</f>
        <v>37.1401217880626</v>
      </c>
      <c r="L47" s="67" t="n">
        <f aca="false">IFERROR(L46/SUM(J44:L44)*SUM(Assumptions!J$191:L$191),0)</f>
        <v>18.2912678373442</v>
      </c>
      <c r="M47" s="67" t="n">
        <f aca="false">IFERROR(M46/SUM(K44:M44)*SUM(Assumptions!K$191:M$191),0)</f>
        <v>21.0032366731381</v>
      </c>
      <c r="N47" s="67" t="n">
        <f aca="false">IFERROR(N46/SUM(L44:N44)*SUM(Assumptions!L$191:N$191),0)</f>
        <v>33.8428567480344</v>
      </c>
      <c r="O47" s="67" t="n">
        <f aca="false">IFERROR(O46/SUM(M44:O44)*SUM(Assumptions!M$191:O$191),0)</f>
        <v>32.1528825723216</v>
      </c>
      <c r="P47" s="67" t="n">
        <f aca="false">IFERROR(P46/SUM(N44:P44)*SUM(Assumptions!N$191:P$191),0)</f>
        <v>47.8889085869342</v>
      </c>
      <c r="Q47" s="67" t="n">
        <f aca="false">IFERROR(Q46/SUM(O44:Q44)*SUM(Assumptions!O$191:Q$191),0)</f>
        <v>32.3166714291092</v>
      </c>
      <c r="R47" s="67" t="n">
        <f aca="false">IFERROR(R46/SUM(P44:R44)*SUM(Assumptions!P$191:R$191),0)</f>
        <v>32.5568277264058</v>
      </c>
      <c r="S47" s="67" t="n">
        <f aca="false">IFERROR(S46/SUM(Q44:S44)*SUM(Assumptions!Q$191:S$191),0)</f>
        <v>29.4805661330801</v>
      </c>
      <c r="T47" s="67" t="n">
        <f aca="false">IFERROR(T46/SUM(R44:T44)*SUM(Assumptions!R$191:T$191),0)</f>
        <v>12.9512343821175</v>
      </c>
      <c r="U47" s="67" t="n">
        <f aca="false">IFERROR(U46/SUM(S44:U44)*SUM(Assumptions!S$191:U$191),0)</f>
        <v>20.1616524683759</v>
      </c>
      <c r="V47" s="67" t="n">
        <f aca="false">IFERROR(V46/SUM(T44:V44)*SUM(Assumptions!T$191:V$191),0)</f>
        <v>0</v>
      </c>
      <c r="W47" s="67" t="n">
        <f aca="false">IFERROR(W46/SUM(U44:W44)*SUM(Assumptions!U$191:W$191),0)</f>
        <v>0</v>
      </c>
      <c r="X47" s="67" t="n">
        <f aca="false">IFERROR(X46/SUM(V44:X44)*SUM(Assumptions!V$191:X$191),0)</f>
        <v>0</v>
      </c>
      <c r="Y47" s="67" t="n">
        <f aca="false">IFERROR(Y46/SUM(W44:Y44)*SUM(Assumptions!W$191:Y$191),0)</f>
        <v>0</v>
      </c>
      <c r="Z47" s="67" t="n">
        <f aca="false">IFERROR(Z46/SUM(X44:Z44)*SUM(Assumptions!X$191:Z$191),0)</f>
        <v>0</v>
      </c>
      <c r="AA47" s="67" t="n">
        <f aca="false">IFERROR(AA46/SUM(Y44:AA44)*SUM(Assumptions!Y$191:AA$191),0)</f>
        <v>0</v>
      </c>
      <c r="AB47" s="67" t="n">
        <f aca="false">IFERROR(AB46/SUM(Z44:AB44)*SUM(Assumptions!Z$191:AB$191),0)</f>
        <v>0</v>
      </c>
    </row>
    <row r="48" customFormat="false" ht="15" hidden="false" customHeight="false" outlineLevel="0" collapsed="false">
      <c r="A48" s="29" t="s">
        <v>957</v>
      </c>
      <c r="B48" s="60" t="s">
        <v>51</v>
      </c>
      <c r="C48" s="61" t="n">
        <f aca="false">P48</f>
        <v>97357.7044281996</v>
      </c>
      <c r="D48" s="61" t="n">
        <f aca="false">AB48</f>
        <v>0</v>
      </c>
      <c r="E48" s="62" t="n">
        <f aca="false">Engagements!E84+Engagements!E254+Engagements!E373+Engagements!E431</f>
        <v>91974.65</v>
      </c>
      <c r="F48" s="62" t="n">
        <f aca="false">Engagements!F84+Engagements!F254+Engagements!F373+Engagements!F431</f>
        <v>93621.61</v>
      </c>
      <c r="G48" s="62" t="n">
        <f aca="false">Engagements!G84+Engagements!G254+Engagements!G373+Engagements!G431</f>
        <v>98970.66</v>
      </c>
      <c r="H48" s="62" t="n">
        <f aca="false">Engagements!H84+Engagements!H254+Engagements!H373+Engagements!H431</f>
        <v>95167.97</v>
      </c>
      <c r="I48" s="62" t="n">
        <f aca="false">Engagements!I84+Engagements!I254+Engagements!I373+Engagements!I431</f>
        <v>79200.81</v>
      </c>
      <c r="J48" s="62" t="n">
        <f aca="false">Engagements!J84+Engagements!J254+Engagements!J373+Engagements!J431</f>
        <v>102224.9</v>
      </c>
      <c r="K48" s="62" t="n">
        <f aca="false">Engagements!K84+Engagements!K254+Engagements!K373+Engagements!K431</f>
        <v>60118.62</v>
      </c>
      <c r="L48" s="62" t="n">
        <f aca="false">Engagements!L84+Engagements!L254+Engagements!L373+Engagements!L431</f>
        <v>48026.69</v>
      </c>
      <c r="M48" s="62" t="n">
        <f aca="false">Engagements!M84+Engagements!M254+Engagements!M373+Engagements!M431</f>
        <v>60461.5517757465</v>
      </c>
      <c r="N48" s="62" t="n">
        <f aca="false">Engagements!N84+Engagements!N254+Engagements!N373+Engagements!N431</f>
        <v>57280.4216466965</v>
      </c>
      <c r="O48" s="62" t="n">
        <f aca="false">Engagements!O84+Engagements!O254+Engagements!O373+Engagements!O431</f>
        <v>98429.0981485544</v>
      </c>
      <c r="P48" s="62" t="n">
        <f aca="false">Engagements!P84+Engagements!P254+Engagements!P373+Engagements!P431</f>
        <v>97357.7044281996</v>
      </c>
      <c r="Q48" s="62" t="n">
        <f aca="false">Engagements!Q84+Engagements!Q254+Engagements!Q373+Engagements!Q431</f>
        <v>107317.952388626</v>
      </c>
      <c r="R48" s="62" t="n">
        <f aca="false">Engagements!R84+Engagements!R254+Engagements!R373+Engagements!R431</f>
        <v>90547.9312050977</v>
      </c>
      <c r="S48" s="62" t="n">
        <f aca="false">Engagements!S84+Engagements!S254+Engagements!S373+Engagements!S431</f>
        <v>43140.5205609818</v>
      </c>
      <c r="T48" s="62" t="n">
        <f aca="false">Engagements!T84+Engagements!T254+Engagements!T373+Engagements!T431</f>
        <v>45090.3745976364</v>
      </c>
      <c r="U48" s="62" t="n">
        <f aca="false">Engagements!U84+Engagements!U254+Engagements!U373+Engagements!U431</f>
        <v>0</v>
      </c>
      <c r="V48" s="62" t="n">
        <f aca="false">Engagements!V84+Engagements!V254+Engagements!V373+Engagements!V431</f>
        <v>0</v>
      </c>
      <c r="W48" s="62" t="n">
        <f aca="false">Engagements!W84+Engagements!W254+Engagements!W373+Engagements!W431</f>
        <v>0</v>
      </c>
      <c r="X48" s="62" t="n">
        <f aca="false">Engagements!X84+Engagements!X254+Engagements!X373+Engagements!X431</f>
        <v>0</v>
      </c>
      <c r="Y48" s="62" t="n">
        <f aca="false">Engagements!Y84+Engagements!Y254+Engagements!Y373+Engagements!Y431</f>
        <v>0</v>
      </c>
      <c r="Z48" s="62" t="n">
        <f aca="false">Engagements!Z84+Engagements!Z254+Engagements!Z373+Engagements!Z431</f>
        <v>0</v>
      </c>
      <c r="AA48" s="62" t="n">
        <f aca="false">Engagements!AA84+Engagements!AA254+Engagements!AA373+Engagements!AA431</f>
        <v>0</v>
      </c>
      <c r="AB48" s="62" t="n">
        <f aca="false">Engagements!AB84+Engagements!AB254+Engagements!AB373+Engagements!AB431</f>
        <v>0</v>
      </c>
    </row>
    <row r="50" customFormat="false" ht="15" hidden="false" customHeight="false" outlineLevel="0" collapsed="false">
      <c r="A50" s="23" t="s">
        <v>960</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row>
    <row r="51" customFormat="false" ht="15" hidden="false" customHeight="false" outlineLevel="0" collapsed="false">
      <c r="A51" s="29" t="s">
        <v>679</v>
      </c>
      <c r="B51" s="60" t="s">
        <v>51</v>
      </c>
      <c r="C51" s="61" t="n">
        <f aca="false">SUM(E51:P51)</f>
        <v>313425.340210379</v>
      </c>
      <c r="D51" s="61" t="n">
        <f aca="false">SUM(Q51:AB51)</f>
        <v>31416.5497896213</v>
      </c>
      <c r="E51" s="62" t="n">
        <f aca="false">Engagements!E94+Engagements!E340</f>
        <v>41148.65</v>
      </c>
      <c r="F51" s="62" t="n">
        <f aca="false">Engagements!F94+Engagements!F340</f>
        <v>41677.7</v>
      </c>
      <c r="G51" s="62" t="n">
        <f aca="false">Engagements!G94+Engagements!G340</f>
        <v>48771.95</v>
      </c>
      <c r="H51" s="62" t="n">
        <f aca="false">Engagements!H94+Engagements!H340</f>
        <v>40358.33</v>
      </c>
      <c r="I51" s="62" t="n">
        <f aca="false">Engagements!I94+Engagements!I340</f>
        <v>32885.26</v>
      </c>
      <c r="J51" s="62" t="n">
        <f aca="false">Engagements!J94+Engagements!J340</f>
        <v>0</v>
      </c>
      <c r="K51" s="62" t="n">
        <f aca="false">Engagements!K94+Engagements!K340</f>
        <v>0</v>
      </c>
      <c r="L51" s="62" t="n">
        <f aca="false">Engagements!L94+Engagements!L340</f>
        <v>0</v>
      </c>
      <c r="M51" s="62" t="n">
        <f aca="false">Engagements!M94+Engagements!M340</f>
        <v>0</v>
      </c>
      <c r="N51" s="62" t="n">
        <f aca="false">Engagements!N94+Engagements!N340</f>
        <v>36129.0322580645</v>
      </c>
      <c r="O51" s="62" t="n">
        <f aca="false">Engagements!O94+Engagements!O340</f>
        <v>35736.3253856943</v>
      </c>
      <c r="P51" s="62" t="n">
        <f aca="false">Engagements!P94+Engagements!P340</f>
        <v>36718.0925666199</v>
      </c>
      <c r="Q51" s="62" t="n">
        <f aca="false">Engagements!Q94+Engagements!Q340</f>
        <v>31416.5497896213</v>
      </c>
      <c r="R51" s="62" t="n">
        <f aca="false">Engagements!R94+Engagements!R340</f>
        <v>0</v>
      </c>
      <c r="S51" s="62" t="n">
        <f aca="false">Engagements!S94+Engagements!S340</f>
        <v>0</v>
      </c>
      <c r="T51" s="62" t="n">
        <f aca="false">Engagements!T94+Engagements!T340</f>
        <v>0</v>
      </c>
      <c r="U51" s="62" t="n">
        <f aca="false">Engagements!U94+Engagements!U340</f>
        <v>0</v>
      </c>
      <c r="V51" s="62" t="n">
        <f aca="false">Engagements!V94+Engagements!V340</f>
        <v>0</v>
      </c>
      <c r="W51" s="62" t="n">
        <f aca="false">Engagements!W94+Engagements!W340</f>
        <v>0</v>
      </c>
      <c r="X51" s="62" t="n">
        <f aca="false">Engagements!X94+Engagements!X340</f>
        <v>0</v>
      </c>
      <c r="Y51" s="62" t="n">
        <f aca="false">Engagements!Y94+Engagements!Y340</f>
        <v>0</v>
      </c>
      <c r="Z51" s="62" t="n">
        <f aca="false">Engagements!Z94+Engagements!Z340</f>
        <v>0</v>
      </c>
      <c r="AA51" s="62" t="n">
        <f aca="false">Engagements!AA94+Engagements!AA340</f>
        <v>0</v>
      </c>
      <c r="AB51" s="62" t="n">
        <f aca="false">Engagements!AB94+Engagements!AB340</f>
        <v>0</v>
      </c>
    </row>
    <row r="52" customFormat="false" ht="15" hidden="false" customHeight="false" outlineLevel="0" collapsed="false">
      <c r="A52" s="29" t="s">
        <v>498</v>
      </c>
      <c r="B52" s="60" t="s">
        <v>51</v>
      </c>
      <c r="C52" s="61" t="n">
        <f aca="false">SUM(E52:P52)</f>
        <v>0</v>
      </c>
      <c r="D52" s="61" t="n">
        <f aca="false">SUM(Q52:AB52)</f>
        <v>0</v>
      </c>
      <c r="E52" s="71" t="n">
        <f aca="false">0</f>
        <v>0</v>
      </c>
      <c r="F52" s="71" t="n">
        <f aca="false">0</f>
        <v>0</v>
      </c>
      <c r="G52" s="71" t="n">
        <f aca="false">0</f>
        <v>0</v>
      </c>
      <c r="H52" s="71" t="n">
        <f aca="false">0</f>
        <v>0</v>
      </c>
      <c r="I52" s="71" t="n">
        <f aca="false">0</f>
        <v>0</v>
      </c>
      <c r="J52" s="71" t="n">
        <f aca="false">0</f>
        <v>0</v>
      </c>
      <c r="K52" s="71" t="n">
        <f aca="false">0</f>
        <v>0</v>
      </c>
      <c r="L52" s="71" t="n">
        <f aca="false">0</f>
        <v>0</v>
      </c>
      <c r="M52" s="71" t="n">
        <f aca="false">0</f>
        <v>0</v>
      </c>
      <c r="N52" s="71" t="n">
        <f aca="false">0</f>
        <v>0</v>
      </c>
      <c r="O52" s="71" t="n">
        <f aca="false">0</f>
        <v>0</v>
      </c>
      <c r="P52" s="71" t="n">
        <f aca="false">0</f>
        <v>0</v>
      </c>
      <c r="Q52" s="71" t="n">
        <f aca="false">0</f>
        <v>0</v>
      </c>
      <c r="R52" s="71" t="n">
        <f aca="false">0</f>
        <v>0</v>
      </c>
      <c r="S52" s="71" t="n">
        <f aca="false">0</f>
        <v>0</v>
      </c>
      <c r="T52" s="71" t="n">
        <f aca="false">0</f>
        <v>0</v>
      </c>
      <c r="U52" s="71" t="n">
        <f aca="false">0</f>
        <v>0</v>
      </c>
      <c r="V52" s="71" t="n">
        <f aca="false">0</f>
        <v>0</v>
      </c>
      <c r="W52" s="71" t="n">
        <f aca="false">0</f>
        <v>0</v>
      </c>
      <c r="X52" s="71" t="n">
        <f aca="false">0</f>
        <v>0</v>
      </c>
      <c r="Y52" s="71" t="n">
        <f aca="false">0</f>
        <v>0</v>
      </c>
      <c r="Z52" s="71" t="n">
        <f aca="false">0</f>
        <v>0</v>
      </c>
      <c r="AA52" s="71" t="n">
        <f aca="false">0</f>
        <v>0</v>
      </c>
      <c r="AB52" s="71" t="n">
        <f aca="false">0</f>
        <v>0</v>
      </c>
    </row>
    <row r="53" customFormat="false" ht="15" hidden="false" customHeight="false" outlineLevel="0" collapsed="false">
      <c r="A53" s="68" t="s">
        <v>351</v>
      </c>
      <c r="B53" s="69"/>
      <c r="C53" s="70" t="n">
        <f aca="false">SUM(E53:P53)</f>
        <v>313425.340210379</v>
      </c>
      <c r="D53" s="70" t="n">
        <f aca="false">SUM(Q53:AB53)</f>
        <v>31416.5497896213</v>
      </c>
      <c r="E53" s="70" t="n">
        <f aca="false">E51+E52</f>
        <v>41148.65</v>
      </c>
      <c r="F53" s="70" t="n">
        <f aca="false">F51+F52</f>
        <v>41677.7</v>
      </c>
      <c r="G53" s="70" t="n">
        <f aca="false">G51+G52</f>
        <v>48771.95</v>
      </c>
      <c r="H53" s="70" t="n">
        <f aca="false">H51+H52</f>
        <v>40358.33</v>
      </c>
      <c r="I53" s="70" t="n">
        <f aca="false">I51+I52</f>
        <v>32885.26</v>
      </c>
      <c r="J53" s="70" t="n">
        <f aca="false">J51+J52</f>
        <v>0</v>
      </c>
      <c r="K53" s="70" t="n">
        <f aca="false">K51+K52</f>
        <v>0</v>
      </c>
      <c r="L53" s="70" t="n">
        <f aca="false">L51+L52</f>
        <v>0</v>
      </c>
      <c r="M53" s="70" t="n">
        <f aca="false">M51+M52</f>
        <v>0</v>
      </c>
      <c r="N53" s="70" t="n">
        <f aca="false">N51+N52</f>
        <v>36129.0322580645</v>
      </c>
      <c r="O53" s="70" t="n">
        <f aca="false">O51+O52</f>
        <v>35736.3253856943</v>
      </c>
      <c r="P53" s="70" t="n">
        <f aca="false">P51+P52</f>
        <v>36718.0925666199</v>
      </c>
      <c r="Q53" s="70" t="n">
        <f aca="false">Q51+Q52</f>
        <v>31416.5497896213</v>
      </c>
      <c r="R53" s="70" t="n">
        <f aca="false">R51+R52</f>
        <v>0</v>
      </c>
      <c r="S53" s="70" t="n">
        <f aca="false">S51+S52</f>
        <v>0</v>
      </c>
      <c r="T53" s="70" t="n">
        <f aca="false">T51+T52</f>
        <v>0</v>
      </c>
      <c r="U53" s="70" t="n">
        <f aca="false">U51+U52</f>
        <v>0</v>
      </c>
      <c r="V53" s="70" t="n">
        <f aca="false">V51+V52</f>
        <v>0</v>
      </c>
      <c r="W53" s="70" t="n">
        <f aca="false">W51+W52</f>
        <v>0</v>
      </c>
      <c r="X53" s="70" t="n">
        <f aca="false">X51+X52</f>
        <v>0</v>
      </c>
      <c r="Y53" s="70" t="n">
        <f aca="false">Y51+Y52</f>
        <v>0</v>
      </c>
      <c r="Z53" s="70" t="n">
        <f aca="false">Z51+Z52</f>
        <v>0</v>
      </c>
      <c r="AA53" s="70" t="n">
        <f aca="false">AA51+AA52</f>
        <v>0</v>
      </c>
      <c r="AB53" s="70" t="n">
        <f aca="false">AB51+AB52</f>
        <v>0</v>
      </c>
    </row>
    <row r="54" customFormat="false" ht="15" hidden="false" customHeight="false" outlineLevel="0" collapsed="false">
      <c r="A54" s="29" t="s">
        <v>901</v>
      </c>
      <c r="B54" s="60" t="s">
        <v>51</v>
      </c>
      <c r="C54" s="66" t="n">
        <f aca="false">SUM(E54:P54)</f>
        <v>1687.31935483871</v>
      </c>
      <c r="D54" s="66" t="n">
        <f aca="false">SUM(Q54:AB54)</f>
        <v>162.58064516129</v>
      </c>
      <c r="E54" s="67" t="n">
        <f aca="false">Engagements!E12+Engagements!E28</f>
        <v>210</v>
      </c>
      <c r="F54" s="67" t="n">
        <f aca="false">Engagements!F12+Engagements!F28</f>
        <v>212.7</v>
      </c>
      <c r="G54" s="67" t="n">
        <f aca="false">Engagements!G12+Engagements!G28</f>
        <v>308.7</v>
      </c>
      <c r="H54" s="67" t="n">
        <f aca="false">Engagements!H12+Engagements!H28</f>
        <v>217.1</v>
      </c>
      <c r="I54" s="67" t="n">
        <f aca="false">Engagements!I12+Engagements!I28</f>
        <v>176.9</v>
      </c>
      <c r="J54" s="67" t="n">
        <f aca="false">Engagements!J12+Engagements!J28</f>
        <v>0</v>
      </c>
      <c r="K54" s="67" t="n">
        <f aca="false">Engagements!K12+Engagements!K28</f>
        <v>0</v>
      </c>
      <c r="L54" s="67" t="n">
        <f aca="false">Engagements!L12+Engagements!L28</f>
        <v>0</v>
      </c>
      <c r="M54" s="67" t="n">
        <f aca="false">Engagements!M12+Engagements!M28</f>
        <v>0</v>
      </c>
      <c r="N54" s="67" t="n">
        <f aca="false">Engagements!N12+Engagements!N28</f>
        <v>186.967741935484</v>
      </c>
      <c r="O54" s="67" t="n">
        <f aca="false">Engagements!O12+Engagements!O28</f>
        <v>184.935483870968</v>
      </c>
      <c r="P54" s="67" t="n">
        <f aca="false">Engagements!P12+Engagements!P28</f>
        <v>190.016129032258</v>
      </c>
      <c r="Q54" s="67" t="n">
        <f aca="false">Engagements!Q12+Engagements!Q28</f>
        <v>162.58064516129</v>
      </c>
      <c r="R54" s="67" t="n">
        <f aca="false">Engagements!R12+Engagements!R28</f>
        <v>0</v>
      </c>
      <c r="S54" s="67" t="n">
        <f aca="false">Engagements!S12+Engagements!S28</f>
        <v>0</v>
      </c>
      <c r="T54" s="67" t="n">
        <f aca="false">Engagements!T12+Engagements!T28</f>
        <v>0</v>
      </c>
      <c r="U54" s="67" t="n">
        <f aca="false">Engagements!U12+Engagements!U28</f>
        <v>0</v>
      </c>
      <c r="V54" s="67" t="n">
        <f aca="false">Engagements!V12+Engagements!V28</f>
        <v>0</v>
      </c>
      <c r="W54" s="67" t="n">
        <f aca="false">Engagements!W12+Engagements!W28</f>
        <v>0</v>
      </c>
      <c r="X54" s="67" t="n">
        <f aca="false">Engagements!X12+Engagements!X28</f>
        <v>0</v>
      </c>
      <c r="Y54" s="67" t="n">
        <f aca="false">Engagements!Y12+Engagements!Y28</f>
        <v>0</v>
      </c>
      <c r="Z54" s="67" t="n">
        <f aca="false">Engagements!Z12+Engagements!Z28</f>
        <v>0</v>
      </c>
      <c r="AA54" s="67" t="n">
        <f aca="false">Engagements!AA12+Engagements!AA28</f>
        <v>0</v>
      </c>
      <c r="AB54" s="67" t="n">
        <f aca="false">Engagements!AB12+Engagements!AB28</f>
        <v>0</v>
      </c>
    </row>
    <row r="55" customFormat="false" ht="15" hidden="false" customHeight="false" outlineLevel="0" collapsed="false">
      <c r="A55" s="29" t="s">
        <v>833</v>
      </c>
      <c r="B55" s="60" t="s">
        <v>51</v>
      </c>
      <c r="C55" s="61" t="n">
        <f aca="false">SUM(E55:P55)</f>
        <v>348600.178709678</v>
      </c>
      <c r="D55" s="61" t="n">
        <f aca="false">SUM(Q55:AB55)</f>
        <v>34932.7277419355</v>
      </c>
      <c r="E55" s="62" t="n">
        <f aca="false">Engagements!E91+Engagements!E337</f>
        <v>43386</v>
      </c>
      <c r="F55" s="62" t="n">
        <f aca="false">Engagements!F91+Engagements!F337</f>
        <v>43943.82</v>
      </c>
      <c r="G55" s="62" t="n">
        <f aca="false">Engagements!G91+Engagements!G337</f>
        <v>63777.42</v>
      </c>
      <c r="H55" s="62" t="n">
        <f aca="false">Engagements!H91+Engagements!H337</f>
        <v>44852.86</v>
      </c>
      <c r="I55" s="62" t="n">
        <f aca="false">Engagements!I91+Engagements!I337</f>
        <v>36547.54</v>
      </c>
      <c r="J55" s="62" t="n">
        <f aca="false">Engagements!J91+Engagements!J337</f>
        <v>0</v>
      </c>
      <c r="K55" s="62" t="n">
        <f aca="false">Engagements!K91+Engagements!K337</f>
        <v>0</v>
      </c>
      <c r="L55" s="62" t="n">
        <f aca="false">Engagements!L91+Engagements!L337</f>
        <v>0</v>
      </c>
      <c r="M55" s="62" t="n">
        <f aca="false">Engagements!M91+Engagements!M337</f>
        <v>0</v>
      </c>
      <c r="N55" s="62" t="n">
        <f aca="false">Engagements!N91+Engagements!N337</f>
        <v>38627.535483871</v>
      </c>
      <c r="O55" s="62" t="n">
        <f aca="false">Engagements!O91+Engagements!O337</f>
        <v>38207.6709677419</v>
      </c>
      <c r="P55" s="62" t="n">
        <f aca="false">Engagements!P91+Engagements!P337</f>
        <v>39257.3322580645</v>
      </c>
      <c r="Q55" s="62" t="n">
        <f aca="false">Engagements!Q91+Engagements!Q337</f>
        <v>34932.7277419355</v>
      </c>
      <c r="R55" s="62" t="n">
        <f aca="false">Engagements!R91+Engagements!R337</f>
        <v>0</v>
      </c>
      <c r="S55" s="62" t="n">
        <f aca="false">Engagements!S91+Engagements!S337</f>
        <v>0</v>
      </c>
      <c r="T55" s="62" t="n">
        <f aca="false">Engagements!T91+Engagements!T337</f>
        <v>0</v>
      </c>
      <c r="U55" s="62" t="n">
        <f aca="false">Engagements!U91+Engagements!U337</f>
        <v>0</v>
      </c>
      <c r="V55" s="62" t="n">
        <f aca="false">Engagements!V91+Engagements!V337</f>
        <v>0</v>
      </c>
      <c r="W55" s="62" t="n">
        <f aca="false">Engagements!W91+Engagements!W337</f>
        <v>0</v>
      </c>
      <c r="X55" s="62" t="n">
        <f aca="false">Engagements!X91+Engagements!X337</f>
        <v>0</v>
      </c>
      <c r="Y55" s="62" t="n">
        <f aca="false">Engagements!Y91+Engagements!Y337</f>
        <v>0</v>
      </c>
      <c r="Z55" s="62" t="n">
        <f aca="false">Engagements!Z91+Engagements!Z337</f>
        <v>0</v>
      </c>
      <c r="AA55" s="62" t="n">
        <f aca="false">Engagements!AA91+Engagements!AA337</f>
        <v>0</v>
      </c>
      <c r="AB55" s="62" t="n">
        <f aca="false">Engagements!AB91+Engagements!AB337</f>
        <v>0</v>
      </c>
    </row>
    <row r="56" customFormat="false" ht="15" hidden="false" customHeight="false" outlineLevel="0" collapsed="false">
      <c r="A56" s="29" t="s">
        <v>716</v>
      </c>
      <c r="B56" s="60" t="s">
        <v>51</v>
      </c>
      <c r="C56" s="61" t="n">
        <f aca="false">SUM(E56:P56)</f>
        <v>301000</v>
      </c>
      <c r="D56" s="61" t="n">
        <f aca="false">SUM(Q56:AB56)</f>
        <v>42000</v>
      </c>
      <c r="E56" s="62" t="n">
        <f aca="false">Engagements!E96+Engagements!E342</f>
        <v>0</v>
      </c>
      <c r="F56" s="62" t="n">
        <f aca="false">Engagements!F96+Engagements!F342</f>
        <v>116000</v>
      </c>
      <c r="G56" s="62" t="n">
        <f aca="false">Engagements!G96+Engagements!G342</f>
        <v>0</v>
      </c>
      <c r="H56" s="62" t="n">
        <f aca="false">Engagements!H96+Engagements!H342</f>
        <v>0</v>
      </c>
      <c r="I56" s="62" t="n">
        <f aca="false">Engagements!I96+Engagements!I342</f>
        <v>87000</v>
      </c>
      <c r="J56" s="62" t="n">
        <f aca="false">Engagements!J96+Engagements!J342</f>
        <v>0</v>
      </c>
      <c r="K56" s="62" t="n">
        <f aca="false">Engagements!K96+Engagements!K342</f>
        <v>0</v>
      </c>
      <c r="L56" s="62" t="n">
        <f aca="false">Engagements!L96+Engagements!L342</f>
        <v>0</v>
      </c>
      <c r="M56" s="62" t="n">
        <f aca="false">Engagements!M96+Engagements!M342</f>
        <v>0</v>
      </c>
      <c r="N56" s="62" t="n">
        <f aca="false">Engagements!N96+Engagements!N342</f>
        <v>42000</v>
      </c>
      <c r="O56" s="62" t="n">
        <f aca="false">Engagements!O96+Engagements!O342</f>
        <v>0</v>
      </c>
      <c r="P56" s="62" t="n">
        <f aca="false">Engagements!P96+Engagements!P342</f>
        <v>56000</v>
      </c>
      <c r="Q56" s="62" t="n">
        <f aca="false">Engagements!Q96+Engagements!Q342</f>
        <v>42000</v>
      </c>
      <c r="R56" s="62" t="n">
        <f aca="false">Engagements!R96+Engagements!R342</f>
        <v>0</v>
      </c>
      <c r="S56" s="62" t="n">
        <f aca="false">Engagements!S96+Engagements!S342</f>
        <v>0</v>
      </c>
      <c r="T56" s="62" t="n">
        <f aca="false">Engagements!T96+Engagements!T342</f>
        <v>0</v>
      </c>
      <c r="U56" s="62" t="n">
        <f aca="false">Engagements!U96+Engagements!U342</f>
        <v>0</v>
      </c>
      <c r="V56" s="62" t="n">
        <f aca="false">Engagements!V96+Engagements!V342</f>
        <v>0</v>
      </c>
      <c r="W56" s="62" t="n">
        <f aca="false">Engagements!W96+Engagements!W342</f>
        <v>0</v>
      </c>
      <c r="X56" s="62" t="n">
        <f aca="false">Engagements!X96+Engagements!X342</f>
        <v>0</v>
      </c>
      <c r="Y56" s="62" t="n">
        <f aca="false">Engagements!Y96+Engagements!Y342</f>
        <v>0</v>
      </c>
      <c r="Z56" s="62" t="n">
        <f aca="false">Engagements!Z96+Engagements!Z342</f>
        <v>0</v>
      </c>
      <c r="AA56" s="62" t="n">
        <f aca="false">Engagements!AA96+Engagements!AA342</f>
        <v>0</v>
      </c>
      <c r="AB56" s="62" t="n">
        <f aca="false">Engagements!AB96+Engagements!AB342</f>
        <v>0</v>
      </c>
    </row>
    <row r="57" customFormat="false" ht="15" hidden="false" customHeight="false" outlineLevel="0" collapsed="false">
      <c r="A57" s="29" t="s">
        <v>949</v>
      </c>
      <c r="B57" s="60" t="s">
        <v>950</v>
      </c>
      <c r="C57" s="61" t="n">
        <f aca="false">SUM(E57:P57)</f>
        <v>57190</v>
      </c>
      <c r="D57" s="61" t="n">
        <f aca="false">SUM(Q57:AB57)</f>
        <v>7980</v>
      </c>
      <c r="E57" s="62" t="n">
        <f aca="false">E56*Client_Register!$E$10</f>
        <v>0</v>
      </c>
      <c r="F57" s="62" t="n">
        <f aca="false">F56*Client_Register!$E$10</f>
        <v>22040</v>
      </c>
      <c r="G57" s="62" t="n">
        <f aca="false">G56*Client_Register!$E$10</f>
        <v>0</v>
      </c>
      <c r="H57" s="62" t="n">
        <f aca="false">H56*Client_Register!$E$10</f>
        <v>0</v>
      </c>
      <c r="I57" s="62" t="n">
        <f aca="false">I56*Client_Register!$E$10</f>
        <v>16530</v>
      </c>
      <c r="J57" s="62" t="n">
        <f aca="false">J56*Client_Register!$E$10</f>
        <v>0</v>
      </c>
      <c r="K57" s="62" t="n">
        <f aca="false">K56*Client_Register!$E$10</f>
        <v>0</v>
      </c>
      <c r="L57" s="62" t="n">
        <f aca="false">L56*Client_Register!$E$10</f>
        <v>0</v>
      </c>
      <c r="M57" s="62" t="n">
        <f aca="false">M56*Client_Register!$E$10</f>
        <v>0</v>
      </c>
      <c r="N57" s="62" t="n">
        <f aca="false">N56*Client_Register!$E$10</f>
        <v>7980</v>
      </c>
      <c r="O57" s="62" t="n">
        <f aca="false">O56*Client_Register!$E$10</f>
        <v>0</v>
      </c>
      <c r="P57" s="62" t="n">
        <f aca="false">P56*Client_Register!$E$10</f>
        <v>10640</v>
      </c>
      <c r="Q57" s="62" t="n">
        <f aca="false">Q56*Client_Register!$E$10</f>
        <v>7980</v>
      </c>
      <c r="R57" s="62" t="n">
        <f aca="false">R56*Client_Register!$E$10</f>
        <v>0</v>
      </c>
      <c r="S57" s="62" t="n">
        <f aca="false">S56*Client_Register!$E$10</f>
        <v>0</v>
      </c>
      <c r="T57" s="62" t="n">
        <f aca="false">T56*Client_Register!$E$10</f>
        <v>0</v>
      </c>
      <c r="U57" s="62" t="n">
        <f aca="false">U56*Client_Register!$E$10</f>
        <v>0</v>
      </c>
      <c r="V57" s="62" t="n">
        <f aca="false">V56*Client_Register!$E$10</f>
        <v>0</v>
      </c>
      <c r="W57" s="62" t="n">
        <f aca="false">W56*Client_Register!$E$10</f>
        <v>0</v>
      </c>
      <c r="X57" s="62" t="n">
        <f aca="false">X56*Client_Register!$E$10</f>
        <v>0</v>
      </c>
      <c r="Y57" s="62" t="n">
        <f aca="false">Y56*Client_Register!$E$10</f>
        <v>0</v>
      </c>
      <c r="Z57" s="62" t="n">
        <f aca="false">Z56*Client_Register!$E$10</f>
        <v>0</v>
      </c>
      <c r="AA57" s="62" t="n">
        <f aca="false">AA56*Client_Register!$E$10</f>
        <v>0</v>
      </c>
      <c r="AB57" s="62" t="n">
        <f aca="false">AB56*Client_Register!$E$10</f>
        <v>0</v>
      </c>
    </row>
    <row r="58" customFormat="false" ht="15" hidden="false" customHeight="false" outlineLevel="0" collapsed="false">
      <c r="A58" s="68" t="s">
        <v>951</v>
      </c>
      <c r="B58" s="69"/>
      <c r="C58" s="70" t="n">
        <f aca="false">SUM(E58:P58)</f>
        <v>358190</v>
      </c>
      <c r="D58" s="70" t="n">
        <f aca="false">SUM(Q58:AB58)</f>
        <v>49980</v>
      </c>
      <c r="E58" s="70" t="n">
        <f aca="false">E56+E57</f>
        <v>0</v>
      </c>
      <c r="F58" s="70" t="n">
        <f aca="false">F56+F57</f>
        <v>138040</v>
      </c>
      <c r="G58" s="70" t="n">
        <f aca="false">G56+G57</f>
        <v>0</v>
      </c>
      <c r="H58" s="70" t="n">
        <f aca="false">H56+H57</f>
        <v>0</v>
      </c>
      <c r="I58" s="70" t="n">
        <f aca="false">I56+I57</f>
        <v>103530</v>
      </c>
      <c r="J58" s="70" t="n">
        <f aca="false">J56+J57</f>
        <v>0</v>
      </c>
      <c r="K58" s="70" t="n">
        <f aca="false">K56+K57</f>
        <v>0</v>
      </c>
      <c r="L58" s="70" t="n">
        <f aca="false">L56+L57</f>
        <v>0</v>
      </c>
      <c r="M58" s="70" t="n">
        <f aca="false">M56+M57</f>
        <v>0</v>
      </c>
      <c r="N58" s="70" t="n">
        <f aca="false">N56+N57</f>
        <v>49980</v>
      </c>
      <c r="O58" s="70" t="n">
        <f aca="false">O56+O57</f>
        <v>0</v>
      </c>
      <c r="P58" s="70" t="n">
        <f aca="false">P56+P57</f>
        <v>66640</v>
      </c>
      <c r="Q58" s="70" t="n">
        <f aca="false">Q56+Q57</f>
        <v>49980</v>
      </c>
      <c r="R58" s="70" t="n">
        <f aca="false">R56+R57</f>
        <v>0</v>
      </c>
      <c r="S58" s="70" t="n">
        <f aca="false">S56+S57</f>
        <v>0</v>
      </c>
      <c r="T58" s="70" t="n">
        <f aca="false">T56+T57</f>
        <v>0</v>
      </c>
      <c r="U58" s="70" t="n">
        <f aca="false">U56+U57</f>
        <v>0</v>
      </c>
      <c r="V58" s="70" t="n">
        <f aca="false">V56+V57</f>
        <v>0</v>
      </c>
      <c r="W58" s="70" t="n">
        <f aca="false">W56+W57</f>
        <v>0</v>
      </c>
      <c r="X58" s="70" t="n">
        <f aca="false">X56+X57</f>
        <v>0</v>
      </c>
      <c r="Y58" s="70" t="n">
        <f aca="false">Y56+Y57</f>
        <v>0</v>
      </c>
      <c r="Z58" s="70" t="n">
        <f aca="false">Z56+Z57</f>
        <v>0</v>
      </c>
      <c r="AA58" s="70" t="n">
        <f aca="false">AA56+AA57</f>
        <v>0</v>
      </c>
      <c r="AB58" s="70" t="n">
        <f aca="false">AB56+AB57</f>
        <v>0</v>
      </c>
    </row>
    <row r="59" customFormat="false" ht="15" hidden="false" customHeight="false" outlineLevel="0" collapsed="false">
      <c r="A59" s="29" t="s">
        <v>952</v>
      </c>
      <c r="B59" s="60" t="s">
        <v>953</v>
      </c>
      <c r="C59" s="61" t="n">
        <f aca="false">SUM(E59:P59)</f>
        <v>382104.26</v>
      </c>
      <c r="D59" s="61" t="n">
        <f aca="false">SUM(Q59:AB59)</f>
        <v>116620</v>
      </c>
      <c r="E59" s="62" t="n">
        <f aca="false">IF(E$5="A",Inputs_Actuals!E107,Client_Register!$J$10+E58-(E58*MIN(1,Client_Register!$I$10/30)+0*MIN(1,MAX(0,(Client_Register!$I$10-30)/30))+0*MIN(1,MAX(0,(Client_Register!$I$10-60)/30))))</f>
        <v>90554.26</v>
      </c>
      <c r="F59" s="62" t="n">
        <f aca="false">IF(F$5="A",Inputs_Actuals!F107,E60+F58-(F58*MIN(1,Client_Register!$I$10/30)+E58*MIN(1,MAX(0,(Client_Register!$I$10-30)/30))+0*MIN(1,MAX(0,(Client_Register!$I$10-60)/30))))</f>
        <v>3797.31</v>
      </c>
      <c r="G59" s="62" t="n">
        <f aca="false">IF(G$5="A",Inputs_Actuals!G107,F60+G58-(G58*MIN(1,Client_Register!$I$10/30)+F58*MIN(1,MAX(0,(Client_Register!$I$10-30)/30))+E58*MIN(1,MAX(0,(Client_Register!$I$10-60)/30))))</f>
        <v>134242.69</v>
      </c>
      <c r="H59" s="62" t="n">
        <f aca="false">IF(H$5="A",Inputs_Actuals!H107,G60+H58-(H58*MIN(1,Client_Register!$I$10/30)+G58*MIN(1,MAX(0,(Client_Register!$I$10-30)/30))+F58*MIN(1,MAX(0,(Client_Register!$I$10-60)/30))))</f>
        <v>0</v>
      </c>
      <c r="I59" s="62" t="n">
        <f aca="false">IF(I$5="A",Inputs_Actuals!I107,H60+I58-(I58*MIN(1,Client_Register!$I$10/30)+H58*MIN(1,MAX(0,(Client_Register!$I$10-30)/30))+G58*MIN(1,MAX(0,(Client_Register!$I$10-60)/30))))</f>
        <v>-2185.14</v>
      </c>
      <c r="J59" s="62" t="n">
        <f aca="false">IF(J$5="A",Inputs_Actuals!J107,I60+J58-(J58*MIN(1,Client_Register!$I$10/30)+I58*MIN(1,MAX(0,(Client_Register!$I$10-30)/30))+H58*MIN(1,MAX(0,(Client_Register!$I$10-60)/30))))</f>
        <v>105715.14</v>
      </c>
      <c r="K59" s="62" t="n">
        <f aca="false">IF(K$5="A",Inputs_Actuals!K107,J60+K58-(K58*MIN(1,Client_Register!$I$10/30)+J58*MIN(1,MAX(0,(Client_Register!$I$10-30)/30))+I58*MIN(1,MAX(0,(Client_Register!$I$10-60)/30))))</f>
        <v>0</v>
      </c>
      <c r="L59" s="62" t="n">
        <f aca="false">IF(L$5="A",Inputs_Actuals!L107,K60+L58-(L58*MIN(1,Client_Register!$I$10/30)+K58*MIN(1,MAX(0,(Client_Register!$I$10-30)/30))+J58*MIN(1,MAX(0,(Client_Register!$I$10-60)/30))))</f>
        <v>0</v>
      </c>
      <c r="M59" s="62" t="n">
        <f aca="false">IF(M$5="A",Inputs_Actuals!M107,L60+M58-(M58*MIN(1,Client_Register!$I$10/30)+L58*MIN(1,MAX(0,(Client_Register!$I$10-30)/30))+K58*MIN(1,MAX(0,(Client_Register!$I$10-60)/30))))</f>
        <v>0</v>
      </c>
      <c r="N59" s="62" t="n">
        <f aca="false">IF(N$5="A",Inputs_Actuals!N107,M60+N58-(N58*MIN(1,Client_Register!$I$10/30)+M58*MIN(1,MAX(0,(Client_Register!$I$10-30)/30))+L58*MIN(1,MAX(0,(Client_Register!$I$10-60)/30))))</f>
        <v>0</v>
      </c>
      <c r="O59" s="62" t="n">
        <f aca="false">IF(O$5="A",Inputs_Actuals!O107,N60+O58-(O58*MIN(1,Client_Register!$I$10/30)+N58*MIN(1,MAX(0,(Client_Register!$I$10-30)/30))+M58*MIN(1,MAX(0,(Client_Register!$I$10-60)/30))))</f>
        <v>49980</v>
      </c>
      <c r="P59" s="62" t="n">
        <f aca="false">IF(P$5="A",Inputs_Actuals!P107,O60+P58-(P58*MIN(1,Client_Register!$I$10/30)+O58*MIN(1,MAX(0,(Client_Register!$I$10-30)/30))+N58*MIN(1,MAX(0,(Client_Register!$I$10-60)/30))))</f>
        <v>0</v>
      </c>
      <c r="Q59" s="62" t="n">
        <f aca="false">IF(Q$5="A",Inputs_Actuals!Q107,P60+Q58-(Q58*MIN(1,Client_Register!$I$10/30)+P58*MIN(1,MAX(0,(Client_Register!$I$10-30)/30))+O58*MIN(1,MAX(0,(Client_Register!$I$10-60)/30))))</f>
        <v>66640</v>
      </c>
      <c r="R59" s="62" t="n">
        <f aca="false">IF(R$5="A",Inputs_Actuals!R107,Q60+R58-(R58*MIN(1,Client_Register!$I$10/30)+Q58*MIN(1,MAX(0,(Client_Register!$I$10-30)/30))+P58*MIN(1,MAX(0,(Client_Register!$I$10-60)/30))))</f>
        <v>49980</v>
      </c>
      <c r="S59" s="62" t="n">
        <f aca="false">IF(S$5="A",Inputs_Actuals!S107,R60+S58-(S58*MIN(1,Client_Register!$I$10/30)+R58*MIN(1,MAX(0,(Client_Register!$I$10-30)/30))+Q58*MIN(1,MAX(0,(Client_Register!$I$10-60)/30))))</f>
        <v>0</v>
      </c>
      <c r="T59" s="62" t="n">
        <f aca="false">IF(T$5="A",Inputs_Actuals!T107,S60+T58-(T58*MIN(1,Client_Register!$I$10/30)+S58*MIN(1,MAX(0,(Client_Register!$I$10-30)/30))+R58*MIN(1,MAX(0,(Client_Register!$I$10-60)/30))))</f>
        <v>0</v>
      </c>
      <c r="U59" s="62" t="n">
        <f aca="false">IF(U$5="A",Inputs_Actuals!U107,T60+U58-(U58*MIN(1,Client_Register!$I$10/30)+T58*MIN(1,MAX(0,(Client_Register!$I$10-30)/30))+S58*MIN(1,MAX(0,(Client_Register!$I$10-60)/30))))</f>
        <v>0</v>
      </c>
      <c r="V59" s="62" t="n">
        <f aca="false">IF(V$5="A",Inputs_Actuals!V107,U60+V58-(V58*MIN(1,Client_Register!$I$10/30)+U58*MIN(1,MAX(0,(Client_Register!$I$10-30)/30))+T58*MIN(1,MAX(0,(Client_Register!$I$10-60)/30))))</f>
        <v>0</v>
      </c>
      <c r="W59" s="62" t="n">
        <f aca="false">IF(W$5="A",Inputs_Actuals!W107,V60+W58-(W58*MIN(1,Client_Register!$I$10/30)+V58*MIN(1,MAX(0,(Client_Register!$I$10-30)/30))+U58*MIN(1,MAX(0,(Client_Register!$I$10-60)/30))))</f>
        <v>0</v>
      </c>
      <c r="X59" s="62" t="n">
        <f aca="false">IF(X$5="A",Inputs_Actuals!X107,W60+X58-(X58*MIN(1,Client_Register!$I$10/30)+W58*MIN(1,MAX(0,(Client_Register!$I$10-30)/30))+V58*MIN(1,MAX(0,(Client_Register!$I$10-60)/30))))</f>
        <v>0</v>
      </c>
      <c r="Y59" s="62" t="n">
        <f aca="false">IF(Y$5="A",Inputs_Actuals!Y107,X60+Y58-(Y58*MIN(1,Client_Register!$I$10/30)+X58*MIN(1,MAX(0,(Client_Register!$I$10-30)/30))+W58*MIN(1,MAX(0,(Client_Register!$I$10-60)/30))))</f>
        <v>0</v>
      </c>
      <c r="Z59" s="62" t="n">
        <f aca="false">IF(Z$5="A",Inputs_Actuals!Z107,Y60+Z58-(Z58*MIN(1,Client_Register!$I$10/30)+Y58*MIN(1,MAX(0,(Client_Register!$I$10-30)/30))+X58*MIN(1,MAX(0,(Client_Register!$I$10-60)/30))))</f>
        <v>0</v>
      </c>
      <c r="AA59" s="62" t="n">
        <f aca="false">IF(AA$5="A",Inputs_Actuals!AA107,Z60+AA58-(AA58*MIN(1,Client_Register!$I$10/30)+Z58*MIN(1,MAX(0,(Client_Register!$I$10-30)/30))+Y58*MIN(1,MAX(0,(Client_Register!$I$10-60)/30))))</f>
        <v>0</v>
      </c>
      <c r="AB59" s="62" t="n">
        <f aca="false">IF(AB$5="A",Inputs_Actuals!AB107,AA60+AB58-(AB58*MIN(1,Client_Register!$I$10/30)+AA58*MIN(1,MAX(0,(Client_Register!$I$10-30)/30))+Z58*MIN(1,MAX(0,(Client_Register!$I$10-60)/30))))</f>
        <v>0</v>
      </c>
    </row>
    <row r="60" customFormat="false" ht="15" hidden="false" customHeight="false" outlineLevel="0" collapsed="false">
      <c r="A60" s="68" t="s">
        <v>954</v>
      </c>
      <c r="B60" s="69" t="s">
        <v>955</v>
      </c>
      <c r="C60" s="70" t="n">
        <f aca="false">P60</f>
        <v>66640</v>
      </c>
      <c r="D60" s="70" t="n">
        <f aca="false">AB60</f>
        <v>0</v>
      </c>
      <c r="E60" s="74" t="n">
        <f aca="false">Client_Register!$J$10+E58-E59</f>
        <v>0</v>
      </c>
      <c r="F60" s="70" t="n">
        <f aca="false">E60+F58-F59</f>
        <v>134242.69</v>
      </c>
      <c r="G60" s="70" t="n">
        <f aca="false">F60+G58-G59</f>
        <v>0</v>
      </c>
      <c r="H60" s="70" t="n">
        <f aca="false">G60+H58-H59</f>
        <v>0</v>
      </c>
      <c r="I60" s="70" t="n">
        <f aca="false">H60+I58-I59</f>
        <v>105715.14</v>
      </c>
      <c r="J60" s="70" t="n">
        <f aca="false">I60+J58-J59</f>
        <v>0</v>
      </c>
      <c r="K60" s="70" t="n">
        <f aca="false">J60+K58-K59</f>
        <v>0</v>
      </c>
      <c r="L60" s="70" t="n">
        <f aca="false">K60+L58-L59</f>
        <v>0</v>
      </c>
      <c r="M60" s="70" t="n">
        <f aca="false">L60+M58-M59</f>
        <v>0</v>
      </c>
      <c r="N60" s="70" t="n">
        <f aca="false">M60+N58-N59</f>
        <v>49980</v>
      </c>
      <c r="O60" s="70" t="n">
        <f aca="false">N60+O58-O59</f>
        <v>0</v>
      </c>
      <c r="P60" s="70" t="n">
        <f aca="false">O60+P58-P59</f>
        <v>66640</v>
      </c>
      <c r="Q60" s="70" t="n">
        <f aca="false">P60+Q58-Q59</f>
        <v>49980</v>
      </c>
      <c r="R60" s="70" t="n">
        <f aca="false">Q60+R58-R59</f>
        <v>0</v>
      </c>
      <c r="S60" s="70" t="n">
        <f aca="false">R60+S58-S59</f>
        <v>0</v>
      </c>
      <c r="T60" s="70" t="n">
        <f aca="false">S60+T58-T59</f>
        <v>0</v>
      </c>
      <c r="U60" s="70" t="n">
        <f aca="false">T60+U58-U59</f>
        <v>0</v>
      </c>
      <c r="V60" s="70" t="n">
        <f aca="false">U60+V58-V59</f>
        <v>0</v>
      </c>
      <c r="W60" s="70" t="n">
        <f aca="false">V60+W58-W59</f>
        <v>0</v>
      </c>
      <c r="X60" s="70" t="n">
        <f aca="false">W60+X58-X59</f>
        <v>0</v>
      </c>
      <c r="Y60" s="70" t="n">
        <f aca="false">X60+Y58-Y59</f>
        <v>0</v>
      </c>
      <c r="Z60" s="70" t="n">
        <f aca="false">Y60+Z58-Z59</f>
        <v>0</v>
      </c>
      <c r="AA60" s="70" t="n">
        <f aca="false">Z60+AA58-AA59</f>
        <v>0</v>
      </c>
      <c r="AB60" s="70" t="n">
        <f aca="false">AA60+AB58-AB59</f>
        <v>0</v>
      </c>
    </row>
    <row r="61" customFormat="false" ht="15" hidden="false" customHeight="false" outlineLevel="0" collapsed="false">
      <c r="A61" s="29" t="s">
        <v>956</v>
      </c>
      <c r="B61" s="60"/>
      <c r="C61" s="66" t="n">
        <f aca="false">P61</f>
        <v>52.5714285714286</v>
      </c>
      <c r="D61" s="66" t="n">
        <f aca="false">AB61</f>
        <v>0</v>
      </c>
      <c r="E61" s="67" t="n">
        <f aca="false">IFERROR(E60/SUM(E58:E58)*SUM(Assumptions!E$191:E$191),0)</f>
        <v>0</v>
      </c>
      <c r="F61" s="67" t="n">
        <f aca="false">IFERROR(F60/SUM(E58:F58)*SUM(Assumptions!E$191:F$191),0)</f>
        <v>57.3769828310635</v>
      </c>
      <c r="G61" s="67" t="n">
        <f aca="false">IFERROR(G60/SUM(E58:G58)*SUM(Assumptions!E$191:G$191),0)</f>
        <v>0</v>
      </c>
      <c r="H61" s="67" t="n">
        <f aca="false">IFERROR(H60/SUM(F58:H58)*SUM(Assumptions!F$191:H$191),0)</f>
        <v>0</v>
      </c>
      <c r="I61" s="67" t="n">
        <f aca="false">IFERROR(I60/SUM(G58:I58)*SUM(Assumptions!G$191:I$191),0)</f>
        <v>93.9417838307737</v>
      </c>
      <c r="J61" s="67" t="n">
        <f aca="false">IFERROR(J60/SUM(H58:J58)*SUM(Assumptions!H$191:J$191),0)</f>
        <v>0</v>
      </c>
      <c r="K61" s="67" t="n">
        <f aca="false">IFERROR(K60/SUM(I58:K58)*SUM(Assumptions!I$191:K$191),0)</f>
        <v>0</v>
      </c>
      <c r="L61" s="67" t="n">
        <f aca="false">IFERROR(L60/SUM(J58:L58)*SUM(Assumptions!J$191:L$191),0)</f>
        <v>0</v>
      </c>
      <c r="M61" s="67" t="n">
        <f aca="false">IFERROR(M60/SUM(K58:M58)*SUM(Assumptions!K$191:M$191),0)</f>
        <v>0</v>
      </c>
      <c r="N61" s="67" t="n">
        <f aca="false">IFERROR(N60/SUM(L58:N58)*SUM(Assumptions!L$191:N$191),0)</f>
        <v>92</v>
      </c>
      <c r="O61" s="67" t="n">
        <f aca="false">IFERROR(O60/SUM(M58:O58)*SUM(Assumptions!M$191:O$191),0)</f>
        <v>0</v>
      </c>
      <c r="P61" s="67" t="n">
        <f aca="false">IFERROR(P60/SUM(N58:P58)*SUM(Assumptions!N$191:P$191),0)</f>
        <v>52.5714285714286</v>
      </c>
      <c r="Q61" s="67" t="n">
        <f aca="false">IFERROR(Q60/SUM(O58:Q58)*SUM(Assumptions!O$191:Q$191),0)</f>
        <v>39.4285714285714</v>
      </c>
      <c r="R61" s="67" t="n">
        <f aca="false">IFERROR(R60/SUM(P58:R58)*SUM(Assumptions!P$191:R$191),0)</f>
        <v>0</v>
      </c>
      <c r="S61" s="67" t="n">
        <f aca="false">IFERROR(S60/SUM(Q58:S58)*SUM(Assumptions!Q$191:S$191),0)</f>
        <v>0</v>
      </c>
      <c r="T61" s="67" t="n">
        <f aca="false">IFERROR(T60/SUM(R58:T58)*SUM(Assumptions!R$191:T$191),0)</f>
        <v>0</v>
      </c>
      <c r="U61" s="67" t="n">
        <f aca="false">IFERROR(U60/SUM(S58:U58)*SUM(Assumptions!S$191:U$191),0)</f>
        <v>0</v>
      </c>
      <c r="V61" s="67" t="n">
        <f aca="false">IFERROR(V60/SUM(T58:V58)*SUM(Assumptions!T$191:V$191),0)</f>
        <v>0</v>
      </c>
      <c r="W61" s="67" t="n">
        <f aca="false">IFERROR(W60/SUM(U58:W58)*SUM(Assumptions!U$191:W$191),0)</f>
        <v>0</v>
      </c>
      <c r="X61" s="67" t="n">
        <f aca="false">IFERROR(X60/SUM(V58:X58)*SUM(Assumptions!V$191:X$191),0)</f>
        <v>0</v>
      </c>
      <c r="Y61" s="67" t="n">
        <f aca="false">IFERROR(Y60/SUM(W58:Y58)*SUM(Assumptions!W$191:Y$191),0)</f>
        <v>0</v>
      </c>
      <c r="Z61" s="67" t="n">
        <f aca="false">IFERROR(Z60/SUM(X58:Z58)*SUM(Assumptions!X$191:Z$191),0)</f>
        <v>0</v>
      </c>
      <c r="AA61" s="67" t="n">
        <f aca="false">IFERROR(AA60/SUM(Y58:AA58)*SUM(Assumptions!Y$191:AA$191),0)</f>
        <v>0</v>
      </c>
      <c r="AB61" s="67" t="n">
        <f aca="false">IFERROR(AB60/SUM(Z58:AB58)*SUM(Assumptions!Z$191:AB$191),0)</f>
        <v>0</v>
      </c>
    </row>
    <row r="62" customFormat="false" ht="15" hidden="false" customHeight="false" outlineLevel="0" collapsed="false">
      <c r="A62" s="29" t="s">
        <v>957</v>
      </c>
      <c r="B62" s="60" t="s">
        <v>51</v>
      </c>
      <c r="C62" s="61" t="n">
        <f aca="false">P62</f>
        <v>10583.4502103787</v>
      </c>
      <c r="D62" s="61" t="n">
        <f aca="false">AB62</f>
        <v>0</v>
      </c>
      <c r="E62" s="62" t="n">
        <f aca="false">Engagements!E99+Engagements!E345</f>
        <v>39306.76</v>
      </c>
      <c r="F62" s="62" t="n">
        <f aca="false">Engagements!F99+Engagements!F345</f>
        <v>-35015.54</v>
      </c>
      <c r="G62" s="62" t="n">
        <f aca="false">Engagements!G99+Engagements!G345</f>
        <v>13756.41</v>
      </c>
      <c r="H62" s="62" t="n">
        <f aca="false">Engagements!H99+Engagements!H345</f>
        <v>54114.7400000001</v>
      </c>
      <c r="I62" s="62" t="n">
        <f aca="false">Engagements!I99+Engagements!I345</f>
        <v>0</v>
      </c>
      <c r="J62" s="62" t="n">
        <f aca="false">Engagements!J99+Engagements!J345</f>
        <v>0</v>
      </c>
      <c r="K62" s="62" t="n">
        <f aca="false">Engagements!K99+Engagements!K345</f>
        <v>0</v>
      </c>
      <c r="L62" s="62" t="n">
        <f aca="false">Engagements!L99+Engagements!L345</f>
        <v>0</v>
      </c>
      <c r="M62" s="62" t="n">
        <f aca="false">Engagements!M99+Engagements!M345</f>
        <v>0</v>
      </c>
      <c r="N62" s="62" t="n">
        <f aca="false">Engagements!N99+Engagements!N345</f>
        <v>-5870.96774193549</v>
      </c>
      <c r="O62" s="62" t="n">
        <f aca="false">Engagements!O99+Engagements!O345</f>
        <v>29865.3576437588</v>
      </c>
      <c r="P62" s="62" t="n">
        <f aca="false">Engagements!P99+Engagements!P345</f>
        <v>10583.4502103787</v>
      </c>
      <c r="Q62" s="62" t="n">
        <f aca="false">Engagements!Q99+Engagements!Q345</f>
        <v>0</v>
      </c>
      <c r="R62" s="62" t="n">
        <f aca="false">Engagements!R99+Engagements!R345</f>
        <v>0</v>
      </c>
      <c r="S62" s="62" t="n">
        <f aca="false">Engagements!S99+Engagements!S345</f>
        <v>0</v>
      </c>
      <c r="T62" s="62" t="n">
        <f aca="false">Engagements!T99+Engagements!T345</f>
        <v>0</v>
      </c>
      <c r="U62" s="62" t="n">
        <f aca="false">Engagements!U99+Engagements!U345</f>
        <v>0</v>
      </c>
      <c r="V62" s="62" t="n">
        <f aca="false">Engagements!V99+Engagements!V345</f>
        <v>0</v>
      </c>
      <c r="W62" s="62" t="n">
        <f aca="false">Engagements!W99+Engagements!W345</f>
        <v>0</v>
      </c>
      <c r="X62" s="62" t="n">
        <f aca="false">Engagements!X99+Engagements!X345</f>
        <v>0</v>
      </c>
      <c r="Y62" s="62" t="n">
        <f aca="false">Engagements!Y99+Engagements!Y345</f>
        <v>0</v>
      </c>
      <c r="Z62" s="62" t="n">
        <f aca="false">Engagements!Z99+Engagements!Z345</f>
        <v>0</v>
      </c>
      <c r="AA62" s="62" t="n">
        <f aca="false">Engagements!AA99+Engagements!AA345</f>
        <v>0</v>
      </c>
      <c r="AB62" s="62" t="n">
        <f aca="false">Engagements!AB99+Engagements!AB345</f>
        <v>0</v>
      </c>
    </row>
    <row r="64" customFormat="false" ht="15" hidden="false" customHeight="false" outlineLevel="0" collapsed="false">
      <c r="A64" s="23" t="s">
        <v>961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row>
    <row r="65" customFormat="false" ht="15" hidden="false" customHeight="false" outlineLevel="0" collapsed="false">
      <c r="A65" s="29" t="s">
        <v>679</v>
      </c>
      <c r="B65" s="60" t="s">
        <v>51</v>
      </c>
      <c r="C65" s="61" t="n">
        <f aca="false">SUM(E65:P65)</f>
        <v>399720</v>
      </c>
      <c r="D65" s="61" t="n">
        <f aca="false">SUM(Q65:AB65)</f>
        <v>152000</v>
      </c>
      <c r="E65" s="62" t="n">
        <f aca="false">Engagements!E110+Engagements!E168+Engagements!E355+Engagements!E526</f>
        <v>20988.75</v>
      </c>
      <c r="F65" s="62" t="n">
        <f aca="false">Engagements!F110+Engagements!F168+Engagements!F355+Engagements!F526</f>
        <v>23381.25</v>
      </c>
      <c r="G65" s="62" t="n">
        <f aca="false">Engagements!G110+Engagements!G168+Engagements!G355+Engagements!G526</f>
        <v>65132.24</v>
      </c>
      <c r="H65" s="62" t="n">
        <f aca="false">Engagements!H110+Engagements!H168+Engagements!H355+Engagements!H526</f>
        <v>33227.11</v>
      </c>
      <c r="I65" s="62" t="n">
        <f aca="false">Engagements!I110+Engagements!I168+Engagements!I355+Engagements!I526</f>
        <v>29850.27</v>
      </c>
      <c r="J65" s="62" t="n">
        <f aca="false">Engagements!J110+Engagements!J168+Engagements!J355+Engagements!J526</f>
        <v>35457.69</v>
      </c>
      <c r="K65" s="62" t="n">
        <f aca="false">Engagements!K110+Engagements!K168+Engagements!K355+Engagements!K526</f>
        <v>40485.57</v>
      </c>
      <c r="L65" s="62" t="n">
        <f aca="false">Engagements!L110+Engagements!L168+Engagements!L355+Engagements!L526</f>
        <v>31197.12</v>
      </c>
      <c r="M65" s="62" t="n">
        <f aca="false">Engagements!M110+Engagements!M168+Engagements!M355+Engagements!M526</f>
        <v>0</v>
      </c>
      <c r="N65" s="62" t="n">
        <f aca="false">Engagements!N110+Engagements!N168+Engagements!N355+Engagements!N526</f>
        <v>39927.6672694394</v>
      </c>
      <c r="O65" s="62" t="n">
        <f aca="false">Engagements!O110+Engagements!O168+Engagements!O355+Engagements!O526</f>
        <v>39493.670886076</v>
      </c>
      <c r="P65" s="62" t="n">
        <f aca="false">Engagements!P110+Engagements!P168+Engagements!P355+Engagements!P526</f>
        <v>40578.6618444846</v>
      </c>
      <c r="Q65" s="62" t="n">
        <f aca="false">Engagements!Q110+Engagements!Q168+Engagements!Q355+Engagements!Q526</f>
        <v>0</v>
      </c>
      <c r="R65" s="62" t="n">
        <f aca="false">Engagements!R110+Engagements!R168+Engagements!R355+Engagements!R526</f>
        <v>0</v>
      </c>
      <c r="S65" s="62" t="n">
        <f aca="false">Engagements!S110+Engagements!S168+Engagements!S355+Engagements!S526</f>
        <v>19135.1351351351</v>
      </c>
      <c r="T65" s="62" t="n">
        <f aca="false">Engagements!T110+Engagements!T168+Engagements!T355+Engagements!T526</f>
        <v>20000</v>
      </c>
      <c r="U65" s="62" t="n">
        <f aca="false">Engagements!U110+Engagements!U168+Engagements!U355+Engagements!U526</f>
        <v>15243.2432432432</v>
      </c>
      <c r="V65" s="62" t="n">
        <f aca="false">Engagements!V110+Engagements!V168+Engagements!V355+Engagements!V526</f>
        <v>20648.6486486487</v>
      </c>
      <c r="W65" s="62" t="n">
        <f aca="false">Engagements!W110+Engagements!W168+Engagements!W355+Engagements!W526</f>
        <v>20000</v>
      </c>
      <c r="X65" s="62" t="n">
        <f aca="false">Engagements!X110+Engagements!X168+Engagements!X355+Engagements!X526</f>
        <v>17513.5135135135</v>
      </c>
      <c r="Y65" s="62" t="n">
        <f aca="false">Engagements!Y110+Engagements!Y168+Engagements!Y355+Engagements!Y526</f>
        <v>20648.6486486487</v>
      </c>
      <c r="Z65" s="62" t="n">
        <f aca="false">Engagements!Z110+Engagements!Z168+Engagements!Z355+Engagements!Z526</f>
        <v>18810.8108108108</v>
      </c>
      <c r="AA65" s="62" t="n">
        <f aca="false">Engagements!AA110+Engagements!AA168+Engagements!AA355+Engagements!AA526</f>
        <v>0</v>
      </c>
      <c r="AB65" s="62" t="n">
        <f aca="false">Engagements!AB110+Engagements!AB168+Engagements!AB355+Engagements!AB526</f>
        <v>0</v>
      </c>
    </row>
    <row r="66" customFormat="false" ht="15" hidden="false" customHeight="false" outlineLevel="0" collapsed="false">
      <c r="A66" s="29" t="s">
        <v>498</v>
      </c>
      <c r="B66" s="60" t="s">
        <v>51</v>
      </c>
      <c r="C66" s="61" t="n">
        <f aca="false">SUM(E66:P66)</f>
        <v>0</v>
      </c>
      <c r="D66" s="61" t="n">
        <f aca="false">SUM(Q66:AB66)</f>
        <v>8652</v>
      </c>
      <c r="E66" s="62" t="n">
        <f aca="false">Engagements!E530</f>
        <v>0</v>
      </c>
      <c r="F66" s="62" t="n">
        <f aca="false">Engagements!F530</f>
        <v>0</v>
      </c>
      <c r="G66" s="62" t="n">
        <f aca="false">Engagements!G530</f>
        <v>0</v>
      </c>
      <c r="H66" s="62" t="n">
        <f aca="false">Engagements!H530</f>
        <v>0</v>
      </c>
      <c r="I66" s="62" t="n">
        <f aca="false">Engagements!I530</f>
        <v>0</v>
      </c>
      <c r="J66" s="62" t="n">
        <f aca="false">Engagements!J530</f>
        <v>0</v>
      </c>
      <c r="K66" s="62" t="n">
        <f aca="false">Engagements!K530</f>
        <v>0</v>
      </c>
      <c r="L66" s="62" t="n">
        <f aca="false">Engagements!L530</f>
        <v>0</v>
      </c>
      <c r="M66" s="62" t="n">
        <f aca="false">Engagements!M530</f>
        <v>0</v>
      </c>
      <c r="N66" s="62" t="n">
        <f aca="false">Engagements!N530</f>
        <v>0</v>
      </c>
      <c r="O66" s="62" t="n">
        <f aca="false">Engagements!O530</f>
        <v>0</v>
      </c>
      <c r="P66" s="62" t="n">
        <f aca="false">Engagements!P530</f>
        <v>0</v>
      </c>
      <c r="Q66" s="62" t="n">
        <f aca="false">Engagements!Q530</f>
        <v>0</v>
      </c>
      <c r="R66" s="62" t="n">
        <f aca="false">Engagements!R530</f>
        <v>0</v>
      </c>
      <c r="S66" s="62" t="n">
        <f aca="false">Engagements!S530</f>
        <v>1089.1920341394</v>
      </c>
      <c r="T66" s="62" t="n">
        <f aca="false">Engagements!T530</f>
        <v>1138.42105263158</v>
      </c>
      <c r="U66" s="62" t="n">
        <f aca="false">Engagements!U530</f>
        <v>867.661450924609</v>
      </c>
      <c r="V66" s="62" t="n">
        <f aca="false">Engagements!V530</f>
        <v>1175.34281650071</v>
      </c>
      <c r="W66" s="62" t="n">
        <f aca="false">Engagements!W530</f>
        <v>1138.42105263158</v>
      </c>
      <c r="X66" s="62" t="n">
        <f aca="false">Engagements!X530</f>
        <v>996.887624466572</v>
      </c>
      <c r="Y66" s="62" t="n">
        <f aca="false">Engagements!Y530</f>
        <v>1175.34281650071</v>
      </c>
      <c r="Z66" s="62" t="n">
        <f aca="false">Engagements!Z530</f>
        <v>1070.73115220484</v>
      </c>
      <c r="AA66" s="62" t="n">
        <f aca="false">Engagements!AA530</f>
        <v>0</v>
      </c>
      <c r="AB66" s="62" t="n">
        <f aca="false">Engagements!AB530</f>
        <v>0</v>
      </c>
    </row>
    <row r="67" customFormat="false" ht="15" hidden="false" customHeight="false" outlineLevel="0" collapsed="false">
      <c r="A67" s="68" t="s">
        <v>351</v>
      </c>
      <c r="B67" s="69"/>
      <c r="C67" s="70" t="n">
        <f aca="false">SUM(E67:P67)</f>
        <v>399720</v>
      </c>
      <c r="D67" s="70" t="n">
        <f aca="false">SUM(Q67:AB67)</f>
        <v>160652</v>
      </c>
      <c r="E67" s="70" t="n">
        <f aca="false">E65+E66</f>
        <v>20988.75</v>
      </c>
      <c r="F67" s="70" t="n">
        <f aca="false">F65+F66</f>
        <v>23381.25</v>
      </c>
      <c r="G67" s="70" t="n">
        <f aca="false">G65+G66</f>
        <v>65132.24</v>
      </c>
      <c r="H67" s="70" t="n">
        <f aca="false">H65+H66</f>
        <v>33227.11</v>
      </c>
      <c r="I67" s="70" t="n">
        <f aca="false">I65+I66</f>
        <v>29850.27</v>
      </c>
      <c r="J67" s="70" t="n">
        <f aca="false">J65+J66</f>
        <v>35457.69</v>
      </c>
      <c r="K67" s="70" t="n">
        <f aca="false">K65+K66</f>
        <v>40485.57</v>
      </c>
      <c r="L67" s="70" t="n">
        <f aca="false">L65+L66</f>
        <v>31197.12</v>
      </c>
      <c r="M67" s="70" t="n">
        <f aca="false">M65+M66</f>
        <v>0</v>
      </c>
      <c r="N67" s="70" t="n">
        <f aca="false">N65+N66</f>
        <v>39927.6672694394</v>
      </c>
      <c r="O67" s="70" t="n">
        <f aca="false">O65+O66</f>
        <v>39493.670886076</v>
      </c>
      <c r="P67" s="70" t="n">
        <f aca="false">P65+P66</f>
        <v>40578.6618444846</v>
      </c>
      <c r="Q67" s="70" t="n">
        <f aca="false">Q65+Q66</f>
        <v>0</v>
      </c>
      <c r="R67" s="70" t="n">
        <f aca="false">R65+R66</f>
        <v>0</v>
      </c>
      <c r="S67" s="70" t="n">
        <f aca="false">S65+S66</f>
        <v>20224.3271692745</v>
      </c>
      <c r="T67" s="70" t="n">
        <f aca="false">T65+T66</f>
        <v>21138.4210526316</v>
      </c>
      <c r="U67" s="70" t="n">
        <f aca="false">U65+U66</f>
        <v>16110.9046941678</v>
      </c>
      <c r="V67" s="70" t="n">
        <f aca="false">V65+V66</f>
        <v>21823.9914651494</v>
      </c>
      <c r="W67" s="70" t="n">
        <f aca="false">W65+W66</f>
        <v>21138.4210526316</v>
      </c>
      <c r="X67" s="70" t="n">
        <f aca="false">X65+X66</f>
        <v>18510.4011379801</v>
      </c>
      <c r="Y67" s="70" t="n">
        <f aca="false">Y65+Y66</f>
        <v>21823.9914651494</v>
      </c>
      <c r="Z67" s="70" t="n">
        <f aca="false">Z65+Z66</f>
        <v>19881.5419630156</v>
      </c>
      <c r="AA67" s="70" t="n">
        <f aca="false">AA65+AA66</f>
        <v>0</v>
      </c>
      <c r="AB67" s="70" t="n">
        <f aca="false">AB65+AB66</f>
        <v>0</v>
      </c>
    </row>
    <row r="68" customFormat="false" ht="15" hidden="false" customHeight="false" outlineLevel="0" collapsed="false">
      <c r="A68" s="29" t="s">
        <v>901</v>
      </c>
      <c r="B68" s="60" t="s">
        <v>51</v>
      </c>
      <c r="C68" s="66" t="n">
        <f aca="false">SUM(E68:P68)</f>
        <v>2079.6</v>
      </c>
      <c r="D68" s="66" t="n">
        <f aca="false">SUM(Q68:AB68)</f>
        <v>840</v>
      </c>
      <c r="E68" s="67" t="n">
        <f aca="false">Engagements!E13+Engagements!E17+Engagements!E29+Engagements!E41</f>
        <v>128.7</v>
      </c>
      <c r="F68" s="67" t="n">
        <f aca="false">Engagements!F13+Engagements!F17+Engagements!F29+Engagements!F41</f>
        <v>124.7</v>
      </c>
      <c r="G68" s="67" t="n">
        <f aca="false">Engagements!G13+Engagements!G17+Engagements!G29+Engagements!G41</f>
        <v>337.9</v>
      </c>
      <c r="H68" s="67" t="n">
        <f aca="false">Engagements!H13+Engagements!H17+Engagements!H29+Engagements!H41</f>
        <v>169.3</v>
      </c>
      <c r="I68" s="67" t="n">
        <f aca="false">Engagements!I13+Engagements!I17+Engagements!I29+Engagements!I41</f>
        <v>137.4</v>
      </c>
      <c r="J68" s="67" t="n">
        <f aca="false">Engagements!J13+Engagements!J17+Engagements!J29+Engagements!J41</f>
        <v>175.6</v>
      </c>
      <c r="K68" s="67" t="n">
        <f aca="false">Engagements!K13+Engagements!K17+Engagements!K29+Engagements!K41</f>
        <v>200.5</v>
      </c>
      <c r="L68" s="67" t="n">
        <f aca="false">Engagements!L13+Engagements!L17+Engagements!L29+Engagements!L41</f>
        <v>154.5</v>
      </c>
      <c r="M68" s="67" t="n">
        <f aca="false">Engagements!M13+Engagements!M17+Engagements!M29+Engagements!M41</f>
        <v>0</v>
      </c>
      <c r="N68" s="67" t="n">
        <f aca="false">Engagements!N13+Engagements!N17+Engagements!N29+Engagements!N41</f>
        <v>216.607594936709</v>
      </c>
      <c r="O68" s="67" t="n">
        <f aca="false">Engagements!O13+Engagements!O17+Engagements!O29+Engagements!O41</f>
        <v>214.253164556962</v>
      </c>
      <c r="P68" s="67" t="n">
        <f aca="false">Engagements!P13+Engagements!P17+Engagements!P29+Engagements!P41</f>
        <v>220.139240506329</v>
      </c>
      <c r="Q68" s="67" t="n">
        <f aca="false">Engagements!Q13+Engagements!Q17+Engagements!Q29+Engagements!Q41</f>
        <v>0</v>
      </c>
      <c r="R68" s="67" t="n">
        <f aca="false">Engagements!R13+Engagements!R17+Engagements!R29+Engagements!R41</f>
        <v>0</v>
      </c>
      <c r="S68" s="67" t="n">
        <f aca="false">Engagements!S13+Engagements!S17+Engagements!S29+Engagements!S41</f>
        <v>105.74679943101</v>
      </c>
      <c r="T68" s="67" t="n">
        <f aca="false">Engagements!T13+Engagements!T17+Engagements!T29+Engagements!T41</f>
        <v>110.526315789474</v>
      </c>
      <c r="U68" s="67" t="n">
        <f aca="false">Engagements!U13+Engagements!U17+Engagements!U29+Engagements!U41</f>
        <v>84.2389758179232</v>
      </c>
      <c r="V68" s="67" t="n">
        <f aca="false">Engagements!V13+Engagements!V17+Engagements!V29+Engagements!V41</f>
        <v>114.110953058322</v>
      </c>
      <c r="W68" s="67" t="n">
        <f aca="false">Engagements!W13+Engagements!W17+Engagements!W29+Engagements!W41</f>
        <v>110.526315789474</v>
      </c>
      <c r="X68" s="67" t="n">
        <f aca="false">Engagements!X13+Engagements!X17+Engagements!X29+Engagements!X41</f>
        <v>96.7852062588905</v>
      </c>
      <c r="Y68" s="67" t="n">
        <f aca="false">Engagements!Y13+Engagements!Y17+Engagements!Y29+Engagements!Y41</f>
        <v>114.110953058322</v>
      </c>
      <c r="Z68" s="67" t="n">
        <f aca="false">Engagements!Z13+Engagements!Z17+Engagements!Z29+Engagements!Z41</f>
        <v>103.954480796586</v>
      </c>
      <c r="AA68" s="67" t="n">
        <f aca="false">Engagements!AA13+Engagements!AA17+Engagements!AA29+Engagements!AA41</f>
        <v>0</v>
      </c>
      <c r="AB68" s="67" t="n">
        <f aca="false">Engagements!AB13+Engagements!AB17+Engagements!AB29+Engagements!AB41</f>
        <v>0</v>
      </c>
    </row>
    <row r="69" customFormat="false" ht="15" hidden="false" customHeight="false" outlineLevel="0" collapsed="false">
      <c r="A69" s="29" t="s">
        <v>833</v>
      </c>
      <c r="B69" s="60" t="s">
        <v>51</v>
      </c>
      <c r="C69" s="61" t="n">
        <f aca="false">SUM(E69:P69)</f>
        <v>429645.36</v>
      </c>
      <c r="D69" s="61" t="n">
        <f aca="false">SUM(Q69:AB69)</f>
        <v>171837.12</v>
      </c>
      <c r="E69" s="62" t="n">
        <f aca="false">Engagements!E107+Engagements!E165+Engagements!E352+Engagements!E522</f>
        <v>26589.42</v>
      </c>
      <c r="F69" s="62" t="n">
        <f aca="false">Engagements!F107+Engagements!F165+Engagements!F352+Engagements!F522</f>
        <v>25763.02</v>
      </c>
      <c r="G69" s="62" t="n">
        <f aca="false">Engagements!G107+Engagements!G165+Engagements!G352+Engagements!G522</f>
        <v>69810.14</v>
      </c>
      <c r="H69" s="62" t="n">
        <f aca="false">Engagements!H107+Engagements!H165+Engagements!H352+Engagements!H522</f>
        <v>34977.38</v>
      </c>
      <c r="I69" s="62" t="n">
        <f aca="false">Engagements!I107+Engagements!I165+Engagements!I352+Engagements!I522</f>
        <v>28386.84</v>
      </c>
      <c r="J69" s="62" t="n">
        <f aca="false">Engagements!J107+Engagements!J165+Engagements!J352+Engagements!J522</f>
        <v>36278.96</v>
      </c>
      <c r="K69" s="62" t="n">
        <f aca="false">Engagements!K107+Engagements!K165+Engagements!K352+Engagements!K522</f>
        <v>41423.3</v>
      </c>
      <c r="L69" s="62" t="n">
        <f aca="false">Engagements!L107+Engagements!L165+Engagements!L352+Engagements!L522</f>
        <v>31919.7</v>
      </c>
      <c r="M69" s="62" t="n">
        <f aca="false">Engagements!M107+Engagements!M165+Engagements!M352+Engagements!M522</f>
        <v>0</v>
      </c>
      <c r="N69" s="62" t="n">
        <f aca="false">Engagements!N107+Engagements!N165+Engagements!N352+Engagements!N522</f>
        <v>44751.1291139241</v>
      </c>
      <c r="O69" s="62" t="n">
        <f aca="false">Engagements!O107+Engagements!O165+Engagements!O352+Engagements!O522</f>
        <v>44264.7037974684</v>
      </c>
      <c r="P69" s="62" t="n">
        <f aca="false">Engagements!P107+Engagements!P165+Engagements!P352+Engagements!P522</f>
        <v>45480.7670886076</v>
      </c>
      <c r="Q69" s="62" t="n">
        <f aca="false">Engagements!Q107+Engagements!Q165+Engagements!Q352+Engagements!Q522</f>
        <v>0</v>
      </c>
      <c r="R69" s="62" t="n">
        <f aca="false">Engagements!R107+Engagements!R165+Engagements!R352+Engagements!R522</f>
        <v>0</v>
      </c>
      <c r="S69" s="62" t="n">
        <f aca="false">Engagements!S107+Engagements!S165+Engagements!S352+Engagements!S522</f>
        <v>21632.4112660028</v>
      </c>
      <c r="T69" s="62" t="n">
        <f aca="false">Engagements!T107+Engagements!T165+Engagements!T352+Engagements!T522</f>
        <v>22610.1473684211</v>
      </c>
      <c r="U69" s="62" t="n">
        <f aca="false">Engagements!U107+Engagements!U165+Engagements!U352+Engagements!U522</f>
        <v>17232.5988051209</v>
      </c>
      <c r="V69" s="62" t="n">
        <f aca="false">Engagements!V107+Engagements!V165+Engagements!V352+Engagements!V522</f>
        <v>23343.4494452347</v>
      </c>
      <c r="W69" s="62" t="n">
        <f aca="false">Engagements!W107+Engagements!W165+Engagements!W352+Engagements!W522</f>
        <v>22610.1473684211</v>
      </c>
      <c r="X69" s="62" t="n">
        <f aca="false">Engagements!X107+Engagements!X165+Engagements!X352+Engagements!X522</f>
        <v>19799.1560739687</v>
      </c>
      <c r="Y69" s="62" t="n">
        <f aca="false">Engagements!Y107+Engagements!Y165+Engagements!Y352+Engagements!Y522</f>
        <v>23343.4494452347</v>
      </c>
      <c r="Z69" s="62" t="n">
        <f aca="false">Engagements!Z107+Engagements!Z165+Engagements!Z352+Engagements!Z522</f>
        <v>21265.760227596</v>
      </c>
      <c r="AA69" s="62" t="n">
        <f aca="false">Engagements!AA107+Engagements!AA165+Engagements!AA352+Engagements!AA522</f>
        <v>0</v>
      </c>
      <c r="AB69" s="62" t="n">
        <f aca="false">Engagements!AB107+Engagements!AB165+Engagements!AB352+Engagements!AB522</f>
        <v>0</v>
      </c>
    </row>
    <row r="70" customFormat="false" ht="15" hidden="false" customHeight="false" outlineLevel="0" collapsed="false">
      <c r="A70" s="29" t="s">
        <v>716</v>
      </c>
      <c r="B70" s="60" t="s">
        <v>51</v>
      </c>
      <c r="C70" s="61" t="n">
        <f aca="false">SUM(E70:P70)</f>
        <v>414000</v>
      </c>
      <c r="D70" s="61" t="n">
        <f aca="false">SUM(Q70:AB70)</f>
        <v>160652</v>
      </c>
      <c r="E70" s="62" t="n">
        <f aca="false">Engagements!E112+Engagements!E170+Engagements!E357+Engagements!E527+Engagements!E531</f>
        <v>48000</v>
      </c>
      <c r="F70" s="62" t="n">
        <f aca="false">Engagements!F112+Engagements!F170+Engagements!F357+Engagements!F527+Engagements!F531</f>
        <v>0</v>
      </c>
      <c r="G70" s="62" t="n">
        <f aca="false">Engagements!G112+Engagements!G170+Engagements!G357+Engagements!G527+Engagements!G531</f>
        <v>99000</v>
      </c>
      <c r="H70" s="62" t="n">
        <f aca="false">Engagements!H112+Engagements!H170+Engagements!H357+Engagements!H527+Engagements!H531</f>
        <v>0</v>
      </c>
      <c r="I70" s="62" t="n">
        <f aca="false">Engagements!I112+Engagements!I170+Engagements!I357+Engagements!I527+Engagements!I531</f>
        <v>0</v>
      </c>
      <c r="J70" s="62" t="n">
        <f aca="false">Engagements!J112+Engagements!J170+Engagements!J357+Engagements!J527+Engagements!J531</f>
        <v>84000</v>
      </c>
      <c r="K70" s="62" t="n">
        <f aca="false">Engagements!K112+Engagements!K170+Engagements!K357+Engagements!K527+Engagements!K531</f>
        <v>0</v>
      </c>
      <c r="L70" s="62" t="n">
        <f aca="false">Engagements!L112+Engagements!L170+Engagements!L357+Engagements!L527+Engagements!L531</f>
        <v>63000</v>
      </c>
      <c r="M70" s="62" t="n">
        <f aca="false">Engagements!M112+Engagements!M170+Engagements!M357+Engagements!M527+Engagements!M531</f>
        <v>0</v>
      </c>
      <c r="N70" s="62" t="n">
        <f aca="false">Engagements!N112+Engagements!N170+Engagements!N357+Engagements!N527+Engagements!N531</f>
        <v>36000</v>
      </c>
      <c r="O70" s="62" t="n">
        <f aca="false">Engagements!O112+Engagements!O170+Engagements!O357+Engagements!O527+Engagements!O531</f>
        <v>48000</v>
      </c>
      <c r="P70" s="62" t="n">
        <f aca="false">Engagements!P112+Engagements!P170+Engagements!P357+Engagements!P527+Engagements!P531</f>
        <v>36000</v>
      </c>
      <c r="Q70" s="62" t="n">
        <f aca="false">Engagements!Q112+Engagements!Q170+Engagements!Q357+Engagements!Q527+Engagements!Q531</f>
        <v>0</v>
      </c>
      <c r="R70" s="62" t="n">
        <f aca="false">Engagements!R112+Engagements!R170+Engagements!R357+Engagements!R527+Engagements!R531</f>
        <v>0</v>
      </c>
      <c r="S70" s="62" t="n">
        <f aca="false">Engagements!S112+Engagements!S170+Engagements!S357+Engagements!S527+Engagements!S531</f>
        <v>0</v>
      </c>
      <c r="T70" s="62" t="n">
        <f aca="false">Engagements!T112+Engagements!T170+Engagements!T357+Engagements!T527+Engagements!T531</f>
        <v>21423.6586241821</v>
      </c>
      <c r="U70" s="62" t="n">
        <f aca="false">Engagements!U112+Engagements!U170+Engagements!U357+Engagements!U527+Engagements!U531</f>
        <v>22391.9595789474</v>
      </c>
      <c r="V70" s="62" t="n">
        <f aca="false">Engagements!V112+Engagements!V170+Engagements!V357+Engagements!V527+Engagements!V531</f>
        <v>17066.3043277383</v>
      </c>
      <c r="W70" s="62" t="n">
        <f aca="false">Engagements!W112+Engagements!W170+Engagements!W357+Engagements!W527+Engagements!W531</f>
        <v>23118.1852950213</v>
      </c>
      <c r="X70" s="62" t="n">
        <f aca="false">Engagements!X112+Engagements!X170+Engagements!X357+Engagements!X527+Engagements!X531</f>
        <v>22391.9595789474</v>
      </c>
      <c r="Y70" s="62" t="n">
        <f aca="false">Engagements!Y112+Engagements!Y170+Engagements!Y357+Engagements!Y527+Engagements!Y531</f>
        <v>19608.0943339972</v>
      </c>
      <c r="Z70" s="62" t="n">
        <f aca="false">Engagements!Z112+Engagements!Z170+Engagements!Z357+Engagements!Z527+Engagements!Z531</f>
        <v>23118.1852950213</v>
      </c>
      <c r="AA70" s="62" t="n">
        <f aca="false">Engagements!AA112+Engagements!AA170+Engagements!AA357+Engagements!AA527+Engagements!AA531</f>
        <v>11533.6529661451</v>
      </c>
      <c r="AB70" s="62" t="n">
        <f aca="false">Engagements!AB112+Engagements!AB170+Engagements!AB357+Engagements!AB527+Engagements!AB531</f>
        <v>0</v>
      </c>
    </row>
    <row r="71" customFormat="false" ht="15" hidden="false" customHeight="false" outlineLevel="0" collapsed="false">
      <c r="A71" s="29" t="s">
        <v>949</v>
      </c>
      <c r="B71" s="60" t="s">
        <v>950</v>
      </c>
      <c r="C71" s="61" t="n">
        <f aca="false">SUM(E71:P71)</f>
        <v>78660</v>
      </c>
      <c r="D71" s="61" t="n">
        <f aca="false">SUM(Q71:AB71)</f>
        <v>30523.88</v>
      </c>
      <c r="E71" s="62" t="n">
        <f aca="false">E70*Client_Register!$E$11</f>
        <v>9120</v>
      </c>
      <c r="F71" s="62" t="n">
        <f aca="false">F70*Client_Register!$E$11</f>
        <v>0</v>
      </c>
      <c r="G71" s="62" t="n">
        <f aca="false">G70*Client_Register!$E$11</f>
        <v>18810</v>
      </c>
      <c r="H71" s="62" t="n">
        <f aca="false">H70*Client_Register!$E$11</f>
        <v>0</v>
      </c>
      <c r="I71" s="62" t="n">
        <f aca="false">I70*Client_Register!$E$11</f>
        <v>0</v>
      </c>
      <c r="J71" s="62" t="n">
        <f aca="false">J70*Client_Register!$E$11</f>
        <v>15960</v>
      </c>
      <c r="K71" s="62" t="n">
        <f aca="false">K70*Client_Register!$E$11</f>
        <v>0</v>
      </c>
      <c r="L71" s="62" t="n">
        <f aca="false">L70*Client_Register!$E$11</f>
        <v>11970</v>
      </c>
      <c r="M71" s="62" t="n">
        <f aca="false">M70*Client_Register!$E$11</f>
        <v>0</v>
      </c>
      <c r="N71" s="62" t="n">
        <f aca="false">N70*Client_Register!$E$11</f>
        <v>6840</v>
      </c>
      <c r="O71" s="62" t="n">
        <f aca="false">O70*Client_Register!$E$11</f>
        <v>9120</v>
      </c>
      <c r="P71" s="62" t="n">
        <f aca="false">P70*Client_Register!$E$11</f>
        <v>6840</v>
      </c>
      <c r="Q71" s="62" t="n">
        <f aca="false">Q70*Client_Register!$E$11</f>
        <v>0</v>
      </c>
      <c r="R71" s="62" t="n">
        <f aca="false">R70*Client_Register!$E$11</f>
        <v>0</v>
      </c>
      <c r="S71" s="62" t="n">
        <f aca="false">S70*Client_Register!$E$11</f>
        <v>0</v>
      </c>
      <c r="T71" s="62" t="n">
        <f aca="false">T70*Client_Register!$E$11</f>
        <v>4070.49513859459</v>
      </c>
      <c r="U71" s="62" t="n">
        <f aca="false">U70*Client_Register!$E$11</f>
        <v>4254.47232</v>
      </c>
      <c r="V71" s="62" t="n">
        <f aca="false">V70*Client_Register!$E$11</f>
        <v>3242.59782227027</v>
      </c>
      <c r="W71" s="62" t="n">
        <f aca="false">W70*Client_Register!$E$11</f>
        <v>4392.45520605405</v>
      </c>
      <c r="X71" s="62" t="n">
        <f aca="false">X70*Client_Register!$E$11</f>
        <v>4254.47232</v>
      </c>
      <c r="Y71" s="62" t="n">
        <f aca="false">Y70*Client_Register!$E$11</f>
        <v>3725.53792345946</v>
      </c>
      <c r="Z71" s="62" t="n">
        <f aca="false">Z70*Client_Register!$E$11</f>
        <v>4392.45520605405</v>
      </c>
      <c r="AA71" s="62" t="n">
        <f aca="false">AA70*Client_Register!$E$11</f>
        <v>2191.39406356757</v>
      </c>
      <c r="AB71" s="62" t="n">
        <f aca="false">AB70*Client_Register!$E$11</f>
        <v>0</v>
      </c>
    </row>
    <row r="72" customFormat="false" ht="15" hidden="false" customHeight="false" outlineLevel="0" collapsed="false">
      <c r="A72" s="68" t="s">
        <v>951</v>
      </c>
      <c r="B72" s="69"/>
      <c r="C72" s="70" t="n">
        <f aca="false">SUM(E72:P72)</f>
        <v>492660</v>
      </c>
      <c r="D72" s="70" t="n">
        <f aca="false">SUM(Q72:AB72)</f>
        <v>191175.88</v>
      </c>
      <c r="E72" s="70" t="n">
        <f aca="false">E70+E71</f>
        <v>57120</v>
      </c>
      <c r="F72" s="70" t="n">
        <f aca="false">F70+F71</f>
        <v>0</v>
      </c>
      <c r="G72" s="70" t="n">
        <f aca="false">G70+G71</f>
        <v>117810</v>
      </c>
      <c r="H72" s="70" t="n">
        <f aca="false">H70+H71</f>
        <v>0</v>
      </c>
      <c r="I72" s="70" t="n">
        <f aca="false">I70+I71</f>
        <v>0</v>
      </c>
      <c r="J72" s="70" t="n">
        <f aca="false">J70+J71</f>
        <v>99960</v>
      </c>
      <c r="K72" s="70" t="n">
        <f aca="false">K70+K71</f>
        <v>0</v>
      </c>
      <c r="L72" s="70" t="n">
        <f aca="false">L70+L71</f>
        <v>74970</v>
      </c>
      <c r="M72" s="70" t="n">
        <f aca="false">M70+M71</f>
        <v>0</v>
      </c>
      <c r="N72" s="70" t="n">
        <f aca="false">N70+N71</f>
        <v>42840</v>
      </c>
      <c r="O72" s="70" t="n">
        <f aca="false">O70+O71</f>
        <v>57120</v>
      </c>
      <c r="P72" s="70" t="n">
        <f aca="false">P70+P71</f>
        <v>42840</v>
      </c>
      <c r="Q72" s="70" t="n">
        <f aca="false">Q70+Q71</f>
        <v>0</v>
      </c>
      <c r="R72" s="70" t="n">
        <f aca="false">R70+R71</f>
        <v>0</v>
      </c>
      <c r="S72" s="70" t="n">
        <f aca="false">S70+S71</f>
        <v>0</v>
      </c>
      <c r="T72" s="70" t="n">
        <f aca="false">T70+T71</f>
        <v>25494.1537627767</v>
      </c>
      <c r="U72" s="70" t="n">
        <f aca="false">U70+U71</f>
        <v>26646.4318989474</v>
      </c>
      <c r="V72" s="70" t="n">
        <f aca="false">V70+V71</f>
        <v>20308.9021500085</v>
      </c>
      <c r="W72" s="70" t="n">
        <f aca="false">W70+W71</f>
        <v>27510.6405010754</v>
      </c>
      <c r="X72" s="70" t="n">
        <f aca="false">X70+X71</f>
        <v>26646.4318989474</v>
      </c>
      <c r="Y72" s="70" t="n">
        <f aca="false">Y70+Y71</f>
        <v>23333.6322574566</v>
      </c>
      <c r="Z72" s="70" t="n">
        <f aca="false">Z70+Z71</f>
        <v>27510.6405010754</v>
      </c>
      <c r="AA72" s="70" t="n">
        <f aca="false">AA70+AA71</f>
        <v>13725.0470297127</v>
      </c>
      <c r="AB72" s="70" t="n">
        <f aca="false">AB70+AB71</f>
        <v>0</v>
      </c>
    </row>
    <row r="73" customFormat="false" ht="15" hidden="false" customHeight="false" outlineLevel="0" collapsed="false">
      <c r="A73" s="29" t="s">
        <v>952</v>
      </c>
      <c r="B73" s="60" t="s">
        <v>953</v>
      </c>
      <c r="C73" s="61" t="n">
        <f aca="false">SUM(E73:P73)</f>
        <v>487729.1</v>
      </c>
      <c r="D73" s="61" t="n">
        <f aca="false">SUM(Q73:AB73)</f>
        <v>234015.88</v>
      </c>
      <c r="E73" s="62" t="n">
        <f aca="false">IF(E$5="A",Inputs_Actuals!E108,Client_Register!$J$11+E72-(E72*MIN(1,Client_Register!$I$11/30)+0*MIN(1,MAX(0,(Client_Register!$I$11-30)/30))+0*MIN(1,MAX(0,(Client_Register!$I$11-60)/30))))</f>
        <v>38306.61</v>
      </c>
      <c r="F73" s="62" t="n">
        <f aca="false">IF(F$5="A",Inputs_Actuals!F108,E74+F72-(F72*MIN(1,Client_Register!$I$11/30)+E72*MIN(1,MAX(0,(Client_Register!$I$11-30)/30))+0*MIN(1,MAX(0,(Client_Register!$I$11-60)/30))))</f>
        <v>56722.49</v>
      </c>
      <c r="G73" s="62" t="n">
        <f aca="false">IF(G$5="A",Inputs_Actuals!G108,F74+G72-(G72*MIN(1,Client_Register!$I$11/30)+F72*MIN(1,MAX(0,(Client_Register!$I$11-30)/30))+E72*MIN(1,MAX(0,(Client_Register!$I$11-60)/30))))</f>
        <v>-14613.55</v>
      </c>
      <c r="H73" s="62" t="n">
        <f aca="false">IF(H$5="A",Inputs_Actuals!H108,G74+H72-(H72*MIN(1,Client_Register!$I$11/30)+G72*MIN(1,MAX(0,(Client_Register!$I$11-30)/30))+F72*MIN(1,MAX(0,(Client_Register!$I$11-60)/30))))</f>
        <v>132423.55</v>
      </c>
      <c r="I73" s="62" t="n">
        <f aca="false">IF(I$5="A",Inputs_Actuals!I108,H74+I72-(I72*MIN(1,Client_Register!$I$11/30)+H72*MIN(1,MAX(0,(Client_Register!$I$11-30)/30))+G72*MIN(1,MAX(0,(Client_Register!$I$11-60)/30))))</f>
        <v>0</v>
      </c>
      <c r="J73" s="62" t="n">
        <f aca="false">IF(J$5="A",Inputs_Actuals!J108,I74+J72-(J72*MIN(1,Client_Register!$I$11/30)+I72*MIN(1,MAX(0,(Client_Register!$I$11-30)/30))+H72*MIN(1,MAX(0,(Client_Register!$I$11-60)/30))))</f>
        <v>9373.32</v>
      </c>
      <c r="K73" s="62" t="n">
        <f aca="false">IF(K$5="A",Inputs_Actuals!K108,J74+K72-(K72*MIN(1,Client_Register!$I$11/30)+J72*MIN(1,MAX(0,(Client_Register!$I$11-30)/30))+I72*MIN(1,MAX(0,(Client_Register!$I$11-60)/30))))</f>
        <v>90586.68</v>
      </c>
      <c r="L73" s="62" t="n">
        <f aca="false">IF(L$5="A",Inputs_Actuals!L108,K74+L72-(L72*MIN(1,Client_Register!$I$11/30)+K72*MIN(1,MAX(0,(Client_Register!$I$11-30)/30))+J72*MIN(1,MAX(0,(Client_Register!$I$11-60)/30))))</f>
        <v>-3865.16</v>
      </c>
      <c r="M73" s="62" t="n">
        <f aca="false">IF(M$5="A",Inputs_Actuals!M108,L74+M72-(M72*MIN(1,Client_Register!$I$11/30)+L72*MIN(1,MAX(0,(Client_Register!$I$11-30)/30))+K72*MIN(1,MAX(0,(Client_Register!$I$11-60)/30))))</f>
        <v>78835.16</v>
      </c>
      <c r="N73" s="62" t="n">
        <f aca="false">IF(N$5="A",Inputs_Actuals!N108,M74+N72-(N72*MIN(1,Client_Register!$I$11/30)+M72*MIN(1,MAX(0,(Client_Register!$I$11-30)/30))+L72*MIN(1,MAX(0,(Client_Register!$I$11-60)/30))))</f>
        <v>0</v>
      </c>
      <c r="O73" s="62" t="n">
        <f aca="false">IF(O$5="A",Inputs_Actuals!O108,N74+O72-(O72*MIN(1,Client_Register!$I$11/30)+N72*MIN(1,MAX(0,(Client_Register!$I$11-30)/30))+M72*MIN(1,MAX(0,(Client_Register!$I$11-60)/30))))</f>
        <v>42840</v>
      </c>
      <c r="P73" s="62" t="n">
        <f aca="false">IF(P$5="A",Inputs_Actuals!P108,O74+P72-(P72*MIN(1,Client_Register!$I$11/30)+O72*MIN(1,MAX(0,(Client_Register!$I$11-30)/30))+N72*MIN(1,MAX(0,(Client_Register!$I$11-60)/30))))</f>
        <v>57120</v>
      </c>
      <c r="Q73" s="62" t="n">
        <f aca="false">IF(Q$5="A",Inputs_Actuals!Q108,P74+Q72-(Q72*MIN(1,Client_Register!$I$11/30)+P72*MIN(1,MAX(0,(Client_Register!$I$11-30)/30))+O72*MIN(1,MAX(0,(Client_Register!$I$11-60)/30))))</f>
        <v>42840</v>
      </c>
      <c r="R73" s="62" t="n">
        <f aca="false">IF(R$5="A",Inputs_Actuals!R108,Q74+R72-(R72*MIN(1,Client_Register!$I$11/30)+Q72*MIN(1,MAX(0,(Client_Register!$I$11-30)/30))+P72*MIN(1,MAX(0,(Client_Register!$I$11-60)/30))))</f>
        <v>0</v>
      </c>
      <c r="S73" s="62" t="n">
        <f aca="false">IF(S$5="A",Inputs_Actuals!S108,R74+S72-(S72*MIN(1,Client_Register!$I$11/30)+R72*MIN(1,MAX(0,(Client_Register!$I$11-30)/30))+Q72*MIN(1,MAX(0,(Client_Register!$I$11-60)/30))))</f>
        <v>0</v>
      </c>
      <c r="T73" s="62" t="n">
        <f aca="false">IF(T$5="A",Inputs_Actuals!T108,S74+T72-(T72*MIN(1,Client_Register!$I$11/30)+S72*MIN(1,MAX(0,(Client_Register!$I$11-30)/30))+R72*MIN(1,MAX(0,(Client_Register!$I$11-60)/30))))</f>
        <v>0</v>
      </c>
      <c r="U73" s="62" t="n">
        <f aca="false">IF(U$5="A",Inputs_Actuals!U108,T74+U72-(U72*MIN(1,Client_Register!$I$11/30)+T72*MIN(1,MAX(0,(Client_Register!$I$11-30)/30))+S72*MIN(1,MAX(0,(Client_Register!$I$11-60)/30))))</f>
        <v>25494.1537627767</v>
      </c>
      <c r="V73" s="62" t="n">
        <f aca="false">IF(V$5="A",Inputs_Actuals!V108,U74+V72-(V72*MIN(1,Client_Register!$I$11/30)+U72*MIN(1,MAX(0,(Client_Register!$I$11-30)/30))+T72*MIN(1,MAX(0,(Client_Register!$I$11-60)/30))))</f>
        <v>26646.4318989474</v>
      </c>
      <c r="W73" s="62" t="n">
        <f aca="false">IF(W$5="A",Inputs_Actuals!W108,V74+W72-(W72*MIN(1,Client_Register!$I$11/30)+V72*MIN(1,MAX(0,(Client_Register!$I$11-30)/30))+U72*MIN(1,MAX(0,(Client_Register!$I$11-60)/30))))</f>
        <v>20308.9021500085</v>
      </c>
      <c r="X73" s="62" t="n">
        <f aca="false">IF(X$5="A",Inputs_Actuals!X108,W74+X72-(X72*MIN(1,Client_Register!$I$11/30)+W72*MIN(1,MAX(0,(Client_Register!$I$11-30)/30))+V72*MIN(1,MAX(0,(Client_Register!$I$11-60)/30))))</f>
        <v>27510.6405010754</v>
      </c>
      <c r="Y73" s="62" t="n">
        <f aca="false">IF(Y$5="A",Inputs_Actuals!Y108,X74+Y72-(Y72*MIN(1,Client_Register!$I$11/30)+X72*MIN(1,MAX(0,(Client_Register!$I$11-30)/30))+W72*MIN(1,MAX(0,(Client_Register!$I$11-60)/30))))</f>
        <v>26646.4318989474</v>
      </c>
      <c r="Z73" s="62" t="n">
        <f aca="false">IF(Z$5="A",Inputs_Actuals!Z108,Y74+Z72-(Z72*MIN(1,Client_Register!$I$11/30)+Y72*MIN(1,MAX(0,(Client_Register!$I$11-30)/30))+X72*MIN(1,MAX(0,(Client_Register!$I$11-60)/30))))</f>
        <v>23333.6322574566</v>
      </c>
      <c r="AA73" s="62" t="n">
        <f aca="false">IF(AA$5="A",Inputs_Actuals!AA108,Z74+AA72-(AA72*MIN(1,Client_Register!$I$11/30)+Z72*MIN(1,MAX(0,(Client_Register!$I$11-30)/30))+Y72*MIN(1,MAX(0,(Client_Register!$I$11-60)/30))))</f>
        <v>27510.6405010754</v>
      </c>
      <c r="AB73" s="62" t="n">
        <f aca="false">IF(AB$5="A",Inputs_Actuals!AB108,AA74+AB72-(AB72*MIN(1,Client_Register!$I$11/30)+AA72*MIN(1,MAX(0,(Client_Register!$I$11-30)/30))+Z72*MIN(1,MAX(0,(Client_Register!$I$11-60)/30))))</f>
        <v>13725.0470297127</v>
      </c>
    </row>
    <row r="74" customFormat="false" ht="15" hidden="false" customHeight="false" outlineLevel="0" collapsed="false">
      <c r="A74" s="68" t="s">
        <v>954</v>
      </c>
      <c r="B74" s="69" t="s">
        <v>955</v>
      </c>
      <c r="C74" s="70" t="n">
        <f aca="false">P74</f>
        <v>42840</v>
      </c>
      <c r="D74" s="70" t="n">
        <f aca="false">AB74</f>
        <v>0</v>
      </c>
      <c r="E74" s="74" t="n">
        <f aca="false">Client_Register!$J$11+E72-E73</f>
        <v>56722.49</v>
      </c>
      <c r="F74" s="70" t="n">
        <f aca="false">E74+F72-F73</f>
        <v>0</v>
      </c>
      <c r="G74" s="70" t="n">
        <f aca="false">F74+G72-G73</f>
        <v>132423.55</v>
      </c>
      <c r="H74" s="70" t="n">
        <f aca="false">G74+H72-H73</f>
        <v>0</v>
      </c>
      <c r="I74" s="70" t="n">
        <f aca="false">H74+I72-I73</f>
        <v>0</v>
      </c>
      <c r="J74" s="70" t="n">
        <f aca="false">I74+J72-J73</f>
        <v>90586.68</v>
      </c>
      <c r="K74" s="70" t="n">
        <f aca="false">J74+K72-K73</f>
        <v>0</v>
      </c>
      <c r="L74" s="70" t="n">
        <f aca="false">K74+L72-L73</f>
        <v>78835.16</v>
      </c>
      <c r="M74" s="70" t="n">
        <f aca="false">L74+M72-M73</f>
        <v>0</v>
      </c>
      <c r="N74" s="70" t="n">
        <f aca="false">M74+N72-N73</f>
        <v>42840</v>
      </c>
      <c r="O74" s="70" t="n">
        <f aca="false">N74+O72-O73</f>
        <v>57120</v>
      </c>
      <c r="P74" s="70" t="n">
        <f aca="false">O74+P72-P73</f>
        <v>42840</v>
      </c>
      <c r="Q74" s="70" t="n">
        <f aca="false">P74+Q72-Q73</f>
        <v>0</v>
      </c>
      <c r="R74" s="70" t="n">
        <f aca="false">Q74+R72-R73</f>
        <v>0</v>
      </c>
      <c r="S74" s="70" t="n">
        <f aca="false">R74+S72-S73</f>
        <v>0</v>
      </c>
      <c r="T74" s="70" t="n">
        <f aca="false">S74+T72-T73</f>
        <v>25494.1537627767</v>
      </c>
      <c r="U74" s="70" t="n">
        <f aca="false">T74+U72-U73</f>
        <v>26646.4318989474</v>
      </c>
      <c r="V74" s="70" t="n">
        <f aca="false">U74+V72-V73</f>
        <v>20308.9021500085</v>
      </c>
      <c r="W74" s="70" t="n">
        <f aca="false">V74+W72-W73</f>
        <v>27510.6405010754</v>
      </c>
      <c r="X74" s="70" t="n">
        <f aca="false">W74+X72-X73</f>
        <v>26646.4318989474</v>
      </c>
      <c r="Y74" s="70" t="n">
        <f aca="false">X74+Y72-Y73</f>
        <v>23333.6322574566</v>
      </c>
      <c r="Z74" s="70" t="n">
        <f aca="false">Y74+Z72-Z73</f>
        <v>27510.6405010754</v>
      </c>
      <c r="AA74" s="70" t="n">
        <f aca="false">Z74+AA72-AA73</f>
        <v>13725.0470297127</v>
      </c>
      <c r="AB74" s="70" t="n">
        <f aca="false">AA74+AB72-AB73</f>
        <v>0</v>
      </c>
    </row>
    <row r="75" customFormat="false" ht="15" hidden="false" customHeight="false" outlineLevel="0" collapsed="false">
      <c r="A75" s="29" t="s">
        <v>956</v>
      </c>
      <c r="B75" s="60"/>
      <c r="C75" s="66" t="n">
        <f aca="false">P75</f>
        <v>27.6</v>
      </c>
      <c r="D75" s="66" t="n">
        <f aca="false">AB75</f>
        <v>0</v>
      </c>
      <c r="E75" s="67" t="n">
        <f aca="false">IFERROR(E74/SUM(E72:E72)*SUM(Assumptions!E$191:E$191),0)</f>
        <v>30.7842645308123</v>
      </c>
      <c r="F75" s="67" t="n">
        <f aca="false">IFERROR(F74/SUM(E72:F72)*SUM(Assumptions!E$191:F$191),0)</f>
        <v>0</v>
      </c>
      <c r="G75" s="67" t="n">
        <f aca="false">IFERROR(G74/SUM(E72:G72)*SUM(Assumptions!E$191:G$191),0)</f>
        <v>68.1307923169268</v>
      </c>
      <c r="H75" s="67" t="n">
        <f aca="false">IFERROR(H74/SUM(F72:H72)*SUM(Assumptions!F$191:H$191),0)</f>
        <v>0</v>
      </c>
      <c r="I75" s="67" t="n">
        <f aca="false">IFERROR(I74/SUM(G72:I72)*SUM(Assumptions!G$191:I$191),0)</f>
        <v>0</v>
      </c>
      <c r="J75" s="67" t="n">
        <f aca="false">IFERROR(J74/SUM(H72:J72)*SUM(Assumptions!H$191:J$191),0)</f>
        <v>82.4668655462185</v>
      </c>
      <c r="K75" s="67" t="n">
        <f aca="false">IFERROR(K74/SUM(I72:K72)*SUM(Assumptions!I$191:K$191),0)</f>
        <v>0</v>
      </c>
      <c r="L75" s="67" t="n">
        <f aca="false">IFERROR(L74/SUM(J72:L72)*SUM(Assumptions!J$191:L$191),0)</f>
        <v>41.4613543703196</v>
      </c>
      <c r="M75" s="67" t="n">
        <f aca="false">IFERROR(M74/SUM(K72:M72)*SUM(Assumptions!K$191:M$191),0)</f>
        <v>0</v>
      </c>
      <c r="N75" s="67" t="n">
        <f aca="false">IFERROR(N74/SUM(L72:N72)*SUM(Assumptions!L$191:N$191),0)</f>
        <v>33.4545454545455</v>
      </c>
      <c r="O75" s="67" t="n">
        <f aca="false">IFERROR(O74/SUM(M72:O72)*SUM(Assumptions!M$191:O$191),0)</f>
        <v>52</v>
      </c>
      <c r="P75" s="67" t="n">
        <f aca="false">IFERROR(P74/SUM(N72:P72)*SUM(Assumptions!N$191:P$191),0)</f>
        <v>27.6</v>
      </c>
      <c r="Q75" s="67" t="n">
        <f aca="false">IFERROR(Q74/SUM(O72:Q72)*SUM(Assumptions!O$191:Q$191),0)</f>
        <v>0</v>
      </c>
      <c r="R75" s="67" t="n">
        <f aca="false">IFERROR(R74/SUM(P72:R72)*SUM(Assumptions!P$191:R$191),0)</f>
        <v>0</v>
      </c>
      <c r="S75" s="67" t="n">
        <f aca="false">IFERROR(S74/SUM(Q72:S72)*SUM(Assumptions!Q$191:S$191),0)</f>
        <v>0</v>
      </c>
      <c r="T75" s="67" t="n">
        <f aca="false">IFERROR(T74/SUM(R72:T72)*SUM(Assumptions!R$191:T$191),0)</f>
        <v>89</v>
      </c>
      <c r="U75" s="67" t="n">
        <f aca="false">IFERROR(U74/SUM(S72:U72)*SUM(Assumptions!S$191:U$191),0)</f>
        <v>47.0165745856354</v>
      </c>
      <c r="V75" s="67" t="n">
        <f aca="false">IFERROR(V74/SUM(T72:V72)*SUM(Assumptions!T$191:V$191),0)</f>
        <v>25.5089463220676</v>
      </c>
      <c r="W75" s="67" t="n">
        <f aca="false">IFERROR(W74/SUM(U72:W72)*SUM(Assumptions!U$191:W$191),0)</f>
        <v>33.9883945841393</v>
      </c>
      <c r="X75" s="67" t="n">
        <f aca="false">IFERROR(X74/SUM(V72:X72)*SUM(Assumptions!V$191:X$191),0)</f>
        <v>32.9206963249516</v>
      </c>
      <c r="Y75" s="67" t="n">
        <f aca="false">IFERROR(Y74/SUM(W72:Y72)*SUM(Assumptions!W$191:Y$191),0)</f>
        <v>27.7026022304833</v>
      </c>
      <c r="Z75" s="67" t="n">
        <f aca="false">IFERROR(Z74/SUM(X72:Z72)*SUM(Assumptions!X$191:Z$191),0)</f>
        <v>32.6617100371747</v>
      </c>
      <c r="AA75" s="67" t="n">
        <f aca="false">IFERROR(AA74/SUM(Y72:AA72)*SUM(Assumptions!Y$191:AA$191),0)</f>
        <v>19.3432311785208</v>
      </c>
      <c r="AB75" s="67" t="n">
        <f aca="false">IFERROR(AB74/SUM(Z72:AB72)*SUM(Assumptions!Z$191:AB$191),0)</f>
        <v>0</v>
      </c>
    </row>
    <row r="76" customFormat="false" ht="15" hidden="false" customHeight="false" outlineLevel="0" collapsed="false">
      <c r="A76" s="29" t="s">
        <v>957</v>
      </c>
      <c r="B76" s="60" t="s">
        <v>51</v>
      </c>
      <c r="C76" s="61" t="n">
        <f aca="false">P76</f>
        <v>0</v>
      </c>
      <c r="D76" s="61" t="n">
        <f aca="false">AB76</f>
        <v>0</v>
      </c>
      <c r="E76" s="62" t="n">
        <f aca="false">Engagements!E115+Engagements!E173+Engagements!E360+Engagements!E532</f>
        <v>-12731.25</v>
      </c>
      <c r="F76" s="62" t="n">
        <f aca="false">Engagements!F115+Engagements!F173+Engagements!F360+Engagements!F532</f>
        <v>10650</v>
      </c>
      <c r="G76" s="62" t="n">
        <f aca="false">Engagements!G115+Engagements!G173+Engagements!G360+Engagements!G532</f>
        <v>-23217.76</v>
      </c>
      <c r="H76" s="62" t="n">
        <f aca="false">Engagements!H115+Engagements!H173+Engagements!H360+Engagements!H532</f>
        <v>10009.35</v>
      </c>
      <c r="I76" s="62" t="n">
        <f aca="false">Engagements!I115+Engagements!I173+Engagements!I360+Engagements!I532</f>
        <v>39859.62</v>
      </c>
      <c r="J76" s="62" t="n">
        <f aca="false">Engagements!J115+Engagements!J173+Engagements!J360+Engagements!J532</f>
        <v>-8682.69</v>
      </c>
      <c r="K76" s="62" t="n">
        <f aca="false">Engagements!K115+Engagements!K173+Engagements!K360+Engagements!K532</f>
        <v>31802.88</v>
      </c>
      <c r="L76" s="62" t="n">
        <f aca="false">Engagements!L115+Engagements!L173+Engagements!L360+Engagements!L532</f>
        <v>0</v>
      </c>
      <c r="M76" s="62" t="n">
        <f aca="false">Engagements!M115+Engagements!M173+Engagements!M360+Engagements!M532</f>
        <v>0</v>
      </c>
      <c r="N76" s="62" t="n">
        <f aca="false">Engagements!N115+Engagements!N173+Engagements!N360+Engagements!N532</f>
        <v>3927.66726943942</v>
      </c>
      <c r="O76" s="62" t="n">
        <f aca="false">Engagements!O115+Engagements!O173+Engagements!O360+Engagements!O532</f>
        <v>-4578.66184448462</v>
      </c>
      <c r="P76" s="62" t="n">
        <f aca="false">Engagements!P115+Engagements!P173+Engagements!P360+Engagements!P532</f>
        <v>0</v>
      </c>
      <c r="Q76" s="62" t="n">
        <f aca="false">Engagements!Q115+Engagements!Q173+Engagements!Q360+Engagements!Q532</f>
        <v>0</v>
      </c>
      <c r="R76" s="62" t="n">
        <f aca="false">Engagements!R115+Engagements!R173+Engagements!R360+Engagements!R532</f>
        <v>0</v>
      </c>
      <c r="S76" s="62" t="n">
        <f aca="false">Engagements!S115+Engagements!S173+Engagements!S360+Engagements!S532</f>
        <v>20224.3271692745</v>
      </c>
      <c r="T76" s="62" t="n">
        <f aca="false">Engagements!T115+Engagements!T173+Engagements!T360+Engagements!T532</f>
        <v>19939.0895977241</v>
      </c>
      <c r="U76" s="62" t="n">
        <f aca="false">Engagements!U115+Engagements!U173+Engagements!U360+Engagements!U532</f>
        <v>13658.0347129445</v>
      </c>
      <c r="V76" s="62" t="n">
        <f aca="false">Engagements!V115+Engagements!V173+Engagements!V360+Engagements!V532</f>
        <v>18415.7218503556</v>
      </c>
      <c r="W76" s="62" t="n">
        <f aca="false">Engagements!W115+Engagements!W173+Engagements!W360+Engagements!W532</f>
        <v>16435.9576079659</v>
      </c>
      <c r="X76" s="62" t="n">
        <f aca="false">Engagements!X115+Engagements!X173+Engagements!X360+Engagements!X532</f>
        <v>12554.3991669986</v>
      </c>
      <c r="Y76" s="62" t="n">
        <f aca="false">Engagements!Y115+Engagements!Y173+Engagements!Y360+Engagements!Y532</f>
        <v>14770.2962981508</v>
      </c>
      <c r="Z76" s="62" t="n">
        <f aca="false">Engagements!Z115+Engagements!Z173+Engagements!Z360+Engagements!Z532</f>
        <v>11533.6529661451</v>
      </c>
      <c r="AA76" s="62" t="n">
        <f aca="false">Engagements!AA115+Engagements!AA173+Engagements!AA360+Engagements!AA532</f>
        <v>0</v>
      </c>
      <c r="AB76" s="62" t="n">
        <f aca="false">Engagements!AB115+Engagements!AB173+Engagements!AB360+Engagements!AB532</f>
        <v>0</v>
      </c>
    </row>
    <row r="78" customFormat="false" ht="15" hidden="false" customHeight="false" outlineLevel="0" collapsed="false">
      <c r="A78" s="23" t="s">
        <v>962</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row>
    <row r="79" customFormat="false" ht="15" hidden="false" customHeight="false" outlineLevel="0" collapsed="false">
      <c r="A79" s="29" t="s">
        <v>679</v>
      </c>
      <c r="B79" s="60" t="s">
        <v>51</v>
      </c>
      <c r="C79" s="61" t="n">
        <f aca="false">SUM(E79:P79)</f>
        <v>663559.416768953</v>
      </c>
      <c r="D79" s="61" t="n">
        <f aca="false">SUM(Q79:AB79)</f>
        <v>235073.18016</v>
      </c>
      <c r="E79" s="62" t="n">
        <f aca="false">Engagements!E215+Engagements!E494</f>
        <v>0</v>
      </c>
      <c r="F79" s="62" t="n">
        <f aca="false">Engagements!F215+Engagements!F494</f>
        <v>0</v>
      </c>
      <c r="G79" s="62" t="n">
        <f aca="false">Engagements!G215+Engagements!G494</f>
        <v>0</v>
      </c>
      <c r="H79" s="62" t="n">
        <f aca="false">Engagements!H215+Engagements!H494</f>
        <v>0</v>
      </c>
      <c r="I79" s="62" t="n">
        <f aca="false">Engagements!I215+Engagements!I494</f>
        <v>63549.37</v>
      </c>
      <c r="J79" s="62" t="n">
        <f aca="false">Engagements!J215+Engagements!J494</f>
        <v>84859.48</v>
      </c>
      <c r="K79" s="62" t="n">
        <f aca="false">Engagements!K215+Engagements!K494</f>
        <v>87157</v>
      </c>
      <c r="L79" s="62" t="n">
        <f aca="false">Engagements!L215+Engagements!L494</f>
        <v>75602.82</v>
      </c>
      <c r="M79" s="62" t="n">
        <f aca="false">Engagements!M215+Engagements!M494</f>
        <v>90465.9040764381</v>
      </c>
      <c r="N79" s="62" t="n">
        <f aca="false">Engagements!N215+Engagements!N494</f>
        <v>87150.3997385582</v>
      </c>
      <c r="O79" s="62" t="n">
        <f aca="false">Engagements!O215+Engagements!O494</f>
        <v>86203.1127848782</v>
      </c>
      <c r="P79" s="62" t="n">
        <f aca="false">Engagements!P215+Engagements!P494</f>
        <v>88571.3301690781</v>
      </c>
      <c r="Q79" s="62" t="n">
        <f aca="false">Engagements!Q215+Engagements!Q494</f>
        <v>36910.4110162905</v>
      </c>
      <c r="R79" s="62" t="n">
        <f aca="false">Engagements!R215+Engagements!R494</f>
        <v>38063.8613605496</v>
      </c>
      <c r="S79" s="62" t="n">
        <f aca="false">Engagements!S215+Engagements!S494</f>
        <v>40832.1421867713</v>
      </c>
      <c r="T79" s="62" t="n">
        <f aca="false">Engagements!T215+Engagements!T494</f>
        <v>42677.6627375859</v>
      </c>
      <c r="U79" s="62" t="n">
        <f aca="false">Engagements!U215+Engagements!U494</f>
        <v>32527.299708106</v>
      </c>
      <c r="V79" s="62" t="n">
        <f aca="false">Engagements!V215+Engagements!V494</f>
        <v>44061.8031506968</v>
      </c>
      <c r="W79" s="62" t="n">
        <f aca="false">Engagements!W215+Engagements!W494</f>
        <v>0</v>
      </c>
      <c r="X79" s="62" t="n">
        <f aca="false">Engagements!X215+Engagements!X494</f>
        <v>0</v>
      </c>
      <c r="Y79" s="62" t="n">
        <f aca="false">Engagements!Y215+Engagements!Y494</f>
        <v>0</v>
      </c>
      <c r="Z79" s="62" t="n">
        <f aca="false">Engagements!Z215+Engagements!Z494</f>
        <v>0</v>
      </c>
      <c r="AA79" s="62" t="n">
        <f aca="false">Engagements!AA215+Engagements!AA494</f>
        <v>0</v>
      </c>
      <c r="AB79" s="62" t="n">
        <f aca="false">Engagements!AB215+Engagements!AB494</f>
        <v>0</v>
      </c>
    </row>
    <row r="80" customFormat="false" ht="15" hidden="false" customHeight="false" outlineLevel="0" collapsed="false">
      <c r="A80" s="29" t="s">
        <v>498</v>
      </c>
      <c r="B80" s="60" t="s">
        <v>51</v>
      </c>
      <c r="C80" s="61" t="n">
        <f aca="false">SUM(E80:P80)</f>
        <v>50935.1</v>
      </c>
      <c r="D80" s="61" t="n">
        <f aca="false">SUM(Q80:AB80)</f>
        <v>18169.2</v>
      </c>
      <c r="E80" s="62" t="n">
        <f aca="false">Engagements!E219+Engagements!E498</f>
        <v>0</v>
      </c>
      <c r="F80" s="62" t="n">
        <f aca="false">Engagements!F219+Engagements!F498</f>
        <v>0</v>
      </c>
      <c r="G80" s="62" t="n">
        <f aca="false">Engagements!G219+Engagements!G498</f>
        <v>0</v>
      </c>
      <c r="H80" s="62" t="n">
        <f aca="false">Engagements!H219+Engagements!H498</f>
        <v>0</v>
      </c>
      <c r="I80" s="62" t="n">
        <f aca="false">Engagements!I219+Engagements!I498</f>
        <v>4916.45</v>
      </c>
      <c r="J80" s="62" t="n">
        <f aca="false">Engagements!J219+Engagements!J498</f>
        <v>6841.76</v>
      </c>
      <c r="K80" s="62" t="n">
        <f aca="false">Engagements!K219+Engagements!K498</f>
        <v>7114.82</v>
      </c>
      <c r="L80" s="62" t="n">
        <f aca="false">Engagements!L219+Engagements!L498</f>
        <v>4682.27</v>
      </c>
      <c r="M80" s="62" t="n">
        <f aca="false">Engagements!M219+Engagements!M498</f>
        <v>7028.95403225806</v>
      </c>
      <c r="N80" s="62" t="n">
        <f aca="false">Engagements!N219+Engagements!N498</f>
        <v>6771.34838709677</v>
      </c>
      <c r="O80" s="62" t="n">
        <f aca="false">Engagements!O219+Engagements!O498</f>
        <v>6697.74677419355</v>
      </c>
      <c r="P80" s="62" t="n">
        <f aca="false">Engagements!P219+Engagements!P498</f>
        <v>6881.75080645161</v>
      </c>
      <c r="Q80" s="62" t="n">
        <f aca="false">Engagements!Q219+Engagements!Q498</f>
        <v>2852.8675171737</v>
      </c>
      <c r="R80" s="62" t="n">
        <f aca="false">Engagements!R219+Engagements!R498</f>
        <v>2942.01962708538</v>
      </c>
      <c r="S80" s="62" t="n">
        <f aca="false">Engagements!S219+Engagements!S498</f>
        <v>3155.98469087341</v>
      </c>
      <c r="T80" s="62" t="n">
        <f aca="false">Engagements!T219+Engagements!T498</f>
        <v>3298.62806673209</v>
      </c>
      <c r="U80" s="62" t="n">
        <f aca="false">Engagements!U219+Engagements!U498</f>
        <v>2514.08949950932</v>
      </c>
      <c r="V80" s="62" t="n">
        <f aca="false">Engagements!V219+Engagements!V498</f>
        <v>3405.6105986261</v>
      </c>
      <c r="W80" s="62" t="n">
        <f aca="false">Engagements!W219+Engagements!W498</f>
        <v>0</v>
      </c>
      <c r="X80" s="62" t="n">
        <f aca="false">Engagements!X219+Engagements!X498</f>
        <v>0</v>
      </c>
      <c r="Y80" s="62" t="n">
        <f aca="false">Engagements!Y219+Engagements!Y498</f>
        <v>0</v>
      </c>
      <c r="Z80" s="62" t="n">
        <f aca="false">Engagements!Z219+Engagements!Z498</f>
        <v>0</v>
      </c>
      <c r="AA80" s="62" t="n">
        <f aca="false">Engagements!AA219+Engagements!AA498</f>
        <v>0</v>
      </c>
      <c r="AB80" s="62" t="n">
        <f aca="false">Engagements!AB219+Engagements!AB498</f>
        <v>0</v>
      </c>
    </row>
    <row r="81" customFormat="false" ht="15" hidden="false" customHeight="false" outlineLevel="0" collapsed="false">
      <c r="A81" s="68" t="s">
        <v>351</v>
      </c>
      <c r="B81" s="69"/>
      <c r="C81" s="70" t="n">
        <f aca="false">SUM(E81:P81)</f>
        <v>714494.516768953</v>
      </c>
      <c r="D81" s="70" t="n">
        <f aca="false">SUM(Q81:AB81)</f>
        <v>253242.38016</v>
      </c>
      <c r="E81" s="70" t="n">
        <f aca="false">E79+E80</f>
        <v>0</v>
      </c>
      <c r="F81" s="70" t="n">
        <f aca="false">F79+F80</f>
        <v>0</v>
      </c>
      <c r="G81" s="70" t="n">
        <f aca="false">G79+G80</f>
        <v>0</v>
      </c>
      <c r="H81" s="70" t="n">
        <f aca="false">H79+H80</f>
        <v>0</v>
      </c>
      <c r="I81" s="70" t="n">
        <f aca="false">I79+I80</f>
        <v>68465.82</v>
      </c>
      <c r="J81" s="70" t="n">
        <f aca="false">J79+J80</f>
        <v>91701.24</v>
      </c>
      <c r="K81" s="70" t="n">
        <f aca="false">K79+K80</f>
        <v>94271.82</v>
      </c>
      <c r="L81" s="70" t="n">
        <f aca="false">L79+L80</f>
        <v>80285.09</v>
      </c>
      <c r="M81" s="70" t="n">
        <f aca="false">M79+M80</f>
        <v>97494.8581086962</v>
      </c>
      <c r="N81" s="70" t="n">
        <f aca="false">N79+N80</f>
        <v>93921.7481256549</v>
      </c>
      <c r="O81" s="70" t="n">
        <f aca="false">O79+O80</f>
        <v>92900.8595590718</v>
      </c>
      <c r="P81" s="70" t="n">
        <f aca="false">P79+P80</f>
        <v>95453.0809755298</v>
      </c>
      <c r="Q81" s="70" t="n">
        <f aca="false">Q79+Q80</f>
        <v>39763.2785334642</v>
      </c>
      <c r="R81" s="70" t="n">
        <f aca="false">R79+R80</f>
        <v>41005.8809876349</v>
      </c>
      <c r="S81" s="70" t="n">
        <f aca="false">S79+S80</f>
        <v>43988.1268776447</v>
      </c>
      <c r="T81" s="70" t="n">
        <f aca="false">T79+T80</f>
        <v>45976.290804318</v>
      </c>
      <c r="U81" s="70" t="n">
        <f aca="false">U79+U80</f>
        <v>35041.3892076153</v>
      </c>
      <c r="V81" s="70" t="n">
        <f aca="false">V79+V80</f>
        <v>47467.4137493229</v>
      </c>
      <c r="W81" s="70" t="n">
        <f aca="false">W79+W80</f>
        <v>0</v>
      </c>
      <c r="X81" s="70" t="n">
        <f aca="false">X79+X80</f>
        <v>0</v>
      </c>
      <c r="Y81" s="70" t="n">
        <f aca="false">Y79+Y80</f>
        <v>0</v>
      </c>
      <c r="Z81" s="70" t="n">
        <f aca="false">Z79+Z80</f>
        <v>0</v>
      </c>
      <c r="AA81" s="70" t="n">
        <f aca="false">AA79+AA80</f>
        <v>0</v>
      </c>
      <c r="AB81" s="70" t="n">
        <f aca="false">AB79+AB80</f>
        <v>0</v>
      </c>
    </row>
    <row r="82" customFormat="false" ht="15" hidden="false" customHeight="false" outlineLevel="0" collapsed="false">
      <c r="A82" s="29" t="s">
        <v>901</v>
      </c>
      <c r="B82" s="60" t="s">
        <v>51</v>
      </c>
      <c r="C82" s="66" t="n">
        <f aca="false">SUM(E82:P82)</f>
        <v>3664.9</v>
      </c>
      <c r="D82" s="66" t="n">
        <f aca="false">SUM(Q82:AB82)</f>
        <v>1260</v>
      </c>
      <c r="E82" s="67" t="n">
        <f aca="false">Engagements!E20+Engagements!E39</f>
        <v>0</v>
      </c>
      <c r="F82" s="67" t="n">
        <f aca="false">Engagements!F20+Engagements!F39</f>
        <v>0</v>
      </c>
      <c r="G82" s="67" t="n">
        <f aca="false">Engagements!G20+Engagements!G39</f>
        <v>0</v>
      </c>
      <c r="H82" s="67" t="n">
        <f aca="false">Engagements!H20+Engagements!H39</f>
        <v>0</v>
      </c>
      <c r="I82" s="67" t="n">
        <f aca="false">Engagements!I20+Engagements!I39</f>
        <v>350.1</v>
      </c>
      <c r="J82" s="67" t="n">
        <f aca="false">Engagements!J20+Engagements!J39</f>
        <v>462.3</v>
      </c>
      <c r="K82" s="67" t="n">
        <f aca="false">Engagements!K20+Engagements!K39</f>
        <v>478.5</v>
      </c>
      <c r="L82" s="67" t="n">
        <f aca="false">Engagements!L20+Engagements!L39</f>
        <v>418.3</v>
      </c>
      <c r="M82" s="67" t="n">
        <f aca="false">Engagements!M20+Engagements!M39</f>
        <v>502.06814516129</v>
      </c>
      <c r="N82" s="67" t="n">
        <f aca="false">Engagements!N20+Engagements!N39</f>
        <v>483.667741935484</v>
      </c>
      <c r="O82" s="67" t="n">
        <f aca="false">Engagements!O20+Engagements!O39</f>
        <v>478.410483870968</v>
      </c>
      <c r="P82" s="67" t="n">
        <f aca="false">Engagements!P20+Engagements!P39</f>
        <v>491.553629032258</v>
      </c>
      <c r="Q82" s="67" t="n">
        <f aca="false">Engagements!Q20+Engagements!Q39</f>
        <v>197.84102060844</v>
      </c>
      <c r="R82" s="67" t="n">
        <f aca="false">Engagements!R20+Engagements!R39</f>
        <v>204.023552502453</v>
      </c>
      <c r="S82" s="67" t="n">
        <f aca="false">Engagements!S20+Engagements!S39</f>
        <v>218.861629048086</v>
      </c>
      <c r="T82" s="67" t="n">
        <f aca="false">Engagements!T20+Engagements!T39</f>
        <v>228.753680078508</v>
      </c>
      <c r="U82" s="67" t="n">
        <f aca="false">Engagements!U20+Engagements!U39</f>
        <v>174.347399411187</v>
      </c>
      <c r="V82" s="67" t="n">
        <f aca="false">Engagements!V20+Engagements!V39</f>
        <v>236.172718351325</v>
      </c>
      <c r="W82" s="67" t="n">
        <f aca="false">Engagements!W20+Engagements!W39</f>
        <v>0</v>
      </c>
      <c r="X82" s="67" t="n">
        <f aca="false">Engagements!X20+Engagements!X39</f>
        <v>0</v>
      </c>
      <c r="Y82" s="67" t="n">
        <f aca="false">Engagements!Y20+Engagements!Y39</f>
        <v>0</v>
      </c>
      <c r="Z82" s="67" t="n">
        <f aca="false">Engagements!Z20+Engagements!Z39</f>
        <v>0</v>
      </c>
      <c r="AA82" s="67" t="n">
        <f aca="false">Engagements!AA20+Engagements!AA39</f>
        <v>0</v>
      </c>
      <c r="AB82" s="67" t="n">
        <f aca="false">Engagements!AB20+Engagements!AB39</f>
        <v>0</v>
      </c>
    </row>
    <row r="83" customFormat="false" ht="15" hidden="false" customHeight="false" outlineLevel="0" collapsed="false">
      <c r="A83" s="29" t="s">
        <v>833</v>
      </c>
      <c r="B83" s="60" t="s">
        <v>51</v>
      </c>
      <c r="C83" s="61" t="n">
        <f aca="false">SUM(E83:P83)</f>
        <v>720885.83</v>
      </c>
      <c r="D83" s="61" t="n">
        <f aca="false">SUM(Q83:AB83)</f>
        <v>257755.68</v>
      </c>
      <c r="E83" s="62" t="n">
        <f aca="false">Engagements!E213+Engagements!E492</f>
        <v>0</v>
      </c>
      <c r="F83" s="62" t="n">
        <f aca="false">Engagements!F213+Engagements!F492</f>
        <v>0</v>
      </c>
      <c r="G83" s="62" t="n">
        <f aca="false">Engagements!G213+Engagements!G492</f>
        <v>0</v>
      </c>
      <c r="H83" s="62" t="n">
        <f aca="false">Engagements!H213+Engagements!H492</f>
        <v>0</v>
      </c>
      <c r="I83" s="62" t="n">
        <f aca="false">Engagements!I213+Engagements!I492</f>
        <v>68864.67</v>
      </c>
      <c r="J83" s="62" t="n">
        <f aca="false">Engagements!J213+Engagements!J492</f>
        <v>90934.41</v>
      </c>
      <c r="K83" s="62" t="n">
        <f aca="false">Engagements!K213+Engagements!K492</f>
        <v>94120.95</v>
      </c>
      <c r="L83" s="62" t="n">
        <f aca="false">Engagements!L213+Engagements!L492</f>
        <v>82279.61</v>
      </c>
      <c r="M83" s="62" t="n">
        <f aca="false">Engagements!M213+Engagements!M492</f>
        <v>98756.8041532258</v>
      </c>
      <c r="N83" s="62" t="n">
        <f aca="false">Engagements!N213+Engagements!N492</f>
        <v>95137.4448387097</v>
      </c>
      <c r="O83" s="62" t="n">
        <f aca="false">Engagements!O213+Engagements!O492</f>
        <v>94103.3421774193</v>
      </c>
      <c r="P83" s="62" t="n">
        <f aca="false">Engagements!P213+Engagements!P492</f>
        <v>96688.5988306452</v>
      </c>
      <c r="Q83" s="62" t="n">
        <f aca="false">Engagements!Q213+Engagements!Q492</f>
        <v>40471.9419038273</v>
      </c>
      <c r="R83" s="62" t="n">
        <f aca="false">Engagements!R213+Engagements!R492</f>
        <v>41736.6900883219</v>
      </c>
      <c r="S83" s="62" t="n">
        <f aca="false">Engagements!S213+Engagements!S492</f>
        <v>44772.0857311089</v>
      </c>
      <c r="T83" s="62" t="n">
        <f aca="false">Engagements!T213+Engagements!T492</f>
        <v>46795.6828263003</v>
      </c>
      <c r="U83" s="62" t="n">
        <f aca="false">Engagements!U213+Engagements!U492</f>
        <v>35665.8988027478</v>
      </c>
      <c r="V83" s="62" t="n">
        <f aca="false">Engagements!V213+Engagements!V492</f>
        <v>48313.3806476938</v>
      </c>
      <c r="W83" s="62" t="n">
        <f aca="false">Engagements!W213+Engagements!W492</f>
        <v>0</v>
      </c>
      <c r="X83" s="62" t="n">
        <f aca="false">Engagements!X213+Engagements!X492</f>
        <v>0</v>
      </c>
      <c r="Y83" s="62" t="n">
        <f aca="false">Engagements!Y213+Engagements!Y492</f>
        <v>0</v>
      </c>
      <c r="Z83" s="62" t="n">
        <f aca="false">Engagements!Z213+Engagements!Z492</f>
        <v>0</v>
      </c>
      <c r="AA83" s="62" t="n">
        <f aca="false">Engagements!AA213+Engagements!AA492</f>
        <v>0</v>
      </c>
      <c r="AB83" s="62" t="n">
        <f aca="false">Engagements!AB213+Engagements!AB492</f>
        <v>0</v>
      </c>
    </row>
    <row r="84" customFormat="false" ht="15" hidden="false" customHeight="false" outlineLevel="0" collapsed="false">
      <c r="A84" s="29" t="s">
        <v>716</v>
      </c>
      <c r="B84" s="60" t="s">
        <v>51</v>
      </c>
      <c r="C84" s="61" t="n">
        <f aca="false">SUM(E84:P84)</f>
        <v>619041.435793423</v>
      </c>
      <c r="D84" s="61" t="n">
        <f aca="false">SUM(Q84:AB84)</f>
        <v>348695.46113553</v>
      </c>
      <c r="E84" s="62" t="n">
        <f aca="false">Engagements!E216+Engagements!E495+Engagements!E220+Engagements!E499</f>
        <v>0</v>
      </c>
      <c r="F84" s="62" t="n">
        <f aca="false">Engagements!F216+Engagements!F495+Engagements!F220+Engagements!F499</f>
        <v>0</v>
      </c>
      <c r="G84" s="62" t="n">
        <f aca="false">Engagements!G216+Engagements!G495+Engagements!G220+Engagements!G499</f>
        <v>0</v>
      </c>
      <c r="H84" s="62" t="n">
        <f aca="false">Engagements!H216+Engagements!H495+Engagements!H220+Engagements!H499</f>
        <v>0</v>
      </c>
      <c r="I84" s="62" t="n">
        <f aca="false">Engagements!I216+Engagements!I495+Engagements!I220+Engagements!I499</f>
        <v>0</v>
      </c>
      <c r="J84" s="62" t="n">
        <f aca="false">Engagements!J216+Engagements!J495+Engagements!J220+Engagements!J499</f>
        <v>68465.82</v>
      </c>
      <c r="K84" s="62" t="n">
        <f aca="false">Engagements!K216+Engagements!K495+Engagements!K220+Engagements!K499</f>
        <v>91701.24</v>
      </c>
      <c r="L84" s="62" t="n">
        <f aca="false">Engagements!L216+Engagements!L495+Engagements!L220+Engagements!L499</f>
        <v>94271.82</v>
      </c>
      <c r="M84" s="62" t="n">
        <f aca="false">Engagements!M216+Engagements!M495+Engagements!M220+Engagements!M499</f>
        <v>80285.09</v>
      </c>
      <c r="N84" s="62" t="n">
        <f aca="false">Engagements!N216+Engagements!N495+Engagements!N220+Engagements!N499</f>
        <v>97494.8581086962</v>
      </c>
      <c r="O84" s="62" t="n">
        <f aca="false">Engagements!O216+Engagements!O495+Engagements!O220+Engagements!O499</f>
        <v>93921.7481256549</v>
      </c>
      <c r="P84" s="62" t="n">
        <f aca="false">Engagements!P216+Engagements!P495+Engagements!P220+Engagements!P499</f>
        <v>92900.8595590718</v>
      </c>
      <c r="Q84" s="62" t="n">
        <f aca="false">Engagements!Q216+Engagements!Q495+Engagements!Q220+Engagements!Q499</f>
        <v>95453.0809755298</v>
      </c>
      <c r="R84" s="62" t="n">
        <f aca="false">Engagements!R216+Engagements!R495+Engagements!R220+Engagements!R499</f>
        <v>39763.2785334642</v>
      </c>
      <c r="S84" s="62" t="n">
        <f aca="false">Engagements!S216+Engagements!S495+Engagements!S220+Engagements!S499</f>
        <v>41005.8809876349</v>
      </c>
      <c r="T84" s="62" t="n">
        <f aca="false">Engagements!T216+Engagements!T495+Engagements!T220+Engagements!T499</f>
        <v>43988.1268776447</v>
      </c>
      <c r="U84" s="62" t="n">
        <f aca="false">Engagements!U216+Engagements!U495+Engagements!U220+Engagements!U499</f>
        <v>45976.290804318</v>
      </c>
      <c r="V84" s="62" t="n">
        <f aca="false">Engagements!V216+Engagements!V495+Engagements!V220+Engagements!V499</f>
        <v>35041.3892076153</v>
      </c>
      <c r="W84" s="62" t="n">
        <f aca="false">Engagements!W216+Engagements!W495+Engagements!W220+Engagements!W499</f>
        <v>47467.4137493229</v>
      </c>
      <c r="X84" s="62" t="n">
        <f aca="false">Engagements!X216+Engagements!X495+Engagements!X220+Engagements!X499</f>
        <v>0</v>
      </c>
      <c r="Y84" s="62" t="n">
        <f aca="false">Engagements!Y216+Engagements!Y495+Engagements!Y220+Engagements!Y499</f>
        <v>0</v>
      </c>
      <c r="Z84" s="62" t="n">
        <f aca="false">Engagements!Z216+Engagements!Z495+Engagements!Z220+Engagements!Z499</f>
        <v>0</v>
      </c>
      <c r="AA84" s="62" t="n">
        <f aca="false">Engagements!AA216+Engagements!AA495+Engagements!AA220+Engagements!AA499</f>
        <v>0</v>
      </c>
      <c r="AB84" s="62" t="n">
        <f aca="false">Engagements!AB216+Engagements!AB495+Engagements!AB220+Engagements!AB499</f>
        <v>0</v>
      </c>
    </row>
    <row r="85" customFormat="false" ht="15" hidden="false" customHeight="false" outlineLevel="0" collapsed="false">
      <c r="A85" s="29" t="s">
        <v>949</v>
      </c>
      <c r="B85" s="60" t="s">
        <v>950</v>
      </c>
      <c r="C85" s="61" t="n">
        <f aca="false">SUM(E85:P85)</f>
        <v>117617.87280075</v>
      </c>
      <c r="D85" s="61" t="n">
        <f aca="false">SUM(Q85:AB85)</f>
        <v>66252.1376157507</v>
      </c>
      <c r="E85" s="62" t="n">
        <f aca="false">E84*Client_Register!$E$12</f>
        <v>0</v>
      </c>
      <c r="F85" s="62" t="n">
        <f aca="false">F84*Client_Register!$E$12</f>
        <v>0</v>
      </c>
      <c r="G85" s="62" t="n">
        <f aca="false">G84*Client_Register!$E$12</f>
        <v>0</v>
      </c>
      <c r="H85" s="62" t="n">
        <f aca="false">H84*Client_Register!$E$12</f>
        <v>0</v>
      </c>
      <c r="I85" s="62" t="n">
        <f aca="false">I84*Client_Register!$E$12</f>
        <v>0</v>
      </c>
      <c r="J85" s="62" t="n">
        <f aca="false">J84*Client_Register!$E$12</f>
        <v>13008.5058</v>
      </c>
      <c r="K85" s="62" t="n">
        <f aca="false">K84*Client_Register!$E$12</f>
        <v>17423.2356</v>
      </c>
      <c r="L85" s="62" t="n">
        <f aca="false">L84*Client_Register!$E$12</f>
        <v>17911.6458</v>
      </c>
      <c r="M85" s="62" t="n">
        <f aca="false">M84*Client_Register!$E$12</f>
        <v>15254.1671</v>
      </c>
      <c r="N85" s="62" t="n">
        <f aca="false">N84*Client_Register!$E$12</f>
        <v>18524.0230406523</v>
      </c>
      <c r="O85" s="62" t="n">
        <f aca="false">O84*Client_Register!$E$12</f>
        <v>17845.1321438744</v>
      </c>
      <c r="P85" s="62" t="n">
        <f aca="false">P84*Client_Register!$E$12</f>
        <v>17651.1633162236</v>
      </c>
      <c r="Q85" s="62" t="n">
        <f aca="false">Q84*Client_Register!$E$12</f>
        <v>18136.0853853507</v>
      </c>
      <c r="R85" s="62" t="n">
        <f aca="false">R84*Client_Register!$E$12</f>
        <v>7555.02292135819</v>
      </c>
      <c r="S85" s="62" t="n">
        <f aca="false">S84*Client_Register!$E$12</f>
        <v>7791.11738765064</v>
      </c>
      <c r="T85" s="62" t="n">
        <f aca="false">T84*Client_Register!$E$12</f>
        <v>8357.7441067525</v>
      </c>
      <c r="U85" s="62" t="n">
        <f aca="false">U84*Client_Register!$E$12</f>
        <v>8735.49525282041</v>
      </c>
      <c r="V85" s="62" t="n">
        <f aca="false">V84*Client_Register!$E$12</f>
        <v>6657.86394944691</v>
      </c>
      <c r="W85" s="62" t="n">
        <f aca="false">W84*Client_Register!$E$12</f>
        <v>9018.80861237134</v>
      </c>
      <c r="X85" s="62" t="n">
        <f aca="false">X84*Client_Register!$E$12</f>
        <v>0</v>
      </c>
      <c r="Y85" s="62" t="n">
        <f aca="false">Y84*Client_Register!$E$12</f>
        <v>0</v>
      </c>
      <c r="Z85" s="62" t="n">
        <f aca="false">Z84*Client_Register!$E$12</f>
        <v>0</v>
      </c>
      <c r="AA85" s="62" t="n">
        <f aca="false">AA84*Client_Register!$E$12</f>
        <v>0</v>
      </c>
      <c r="AB85" s="62" t="n">
        <f aca="false">AB84*Client_Register!$E$12</f>
        <v>0</v>
      </c>
    </row>
    <row r="86" customFormat="false" ht="15" hidden="false" customHeight="false" outlineLevel="0" collapsed="false">
      <c r="A86" s="68" t="s">
        <v>951</v>
      </c>
      <c r="B86" s="69"/>
      <c r="C86" s="70" t="n">
        <f aca="false">SUM(E86:P86)</f>
        <v>736659.308594173</v>
      </c>
      <c r="D86" s="70" t="n">
        <f aca="false">SUM(Q86:AB86)</f>
        <v>414947.59875128</v>
      </c>
      <c r="E86" s="70" t="n">
        <f aca="false">E84+E85</f>
        <v>0</v>
      </c>
      <c r="F86" s="70" t="n">
        <f aca="false">F84+F85</f>
        <v>0</v>
      </c>
      <c r="G86" s="70" t="n">
        <f aca="false">G84+G85</f>
        <v>0</v>
      </c>
      <c r="H86" s="70" t="n">
        <f aca="false">H84+H85</f>
        <v>0</v>
      </c>
      <c r="I86" s="70" t="n">
        <f aca="false">I84+I85</f>
        <v>0</v>
      </c>
      <c r="J86" s="70" t="n">
        <f aca="false">J84+J85</f>
        <v>81474.3258</v>
      </c>
      <c r="K86" s="70" t="n">
        <f aca="false">K84+K85</f>
        <v>109124.4756</v>
      </c>
      <c r="L86" s="70" t="n">
        <f aca="false">L84+L85</f>
        <v>112183.4658</v>
      </c>
      <c r="M86" s="70" t="n">
        <f aca="false">M84+M85</f>
        <v>95539.2571</v>
      </c>
      <c r="N86" s="70" t="n">
        <f aca="false">N84+N85</f>
        <v>116018.881149348</v>
      </c>
      <c r="O86" s="70" t="n">
        <f aca="false">O84+O85</f>
        <v>111766.880269529</v>
      </c>
      <c r="P86" s="70" t="n">
        <f aca="false">P84+P85</f>
        <v>110552.022875295</v>
      </c>
      <c r="Q86" s="70" t="n">
        <f aca="false">Q84+Q85</f>
        <v>113589.16636088</v>
      </c>
      <c r="R86" s="70" t="n">
        <f aca="false">R84+R85</f>
        <v>47318.3014548224</v>
      </c>
      <c r="S86" s="70" t="n">
        <f aca="false">S84+S85</f>
        <v>48796.9983752856</v>
      </c>
      <c r="T86" s="70" t="n">
        <f aca="false">T84+T85</f>
        <v>52345.8709843972</v>
      </c>
      <c r="U86" s="70" t="n">
        <f aca="false">U84+U85</f>
        <v>54711.7860571384</v>
      </c>
      <c r="V86" s="70" t="n">
        <f aca="false">V84+V85</f>
        <v>41699.2531570622</v>
      </c>
      <c r="W86" s="70" t="n">
        <f aca="false">W84+W85</f>
        <v>56486.2223616942</v>
      </c>
      <c r="X86" s="70" t="n">
        <f aca="false">X84+X85</f>
        <v>0</v>
      </c>
      <c r="Y86" s="70" t="n">
        <f aca="false">Y84+Y85</f>
        <v>0</v>
      </c>
      <c r="Z86" s="70" t="n">
        <f aca="false">Z84+Z85</f>
        <v>0</v>
      </c>
      <c r="AA86" s="70" t="n">
        <f aca="false">AA84+AA85</f>
        <v>0</v>
      </c>
      <c r="AB86" s="70" t="n">
        <f aca="false">AB84+AB85</f>
        <v>0</v>
      </c>
    </row>
    <row r="87" customFormat="false" ht="15" hidden="false" customHeight="false" outlineLevel="0" collapsed="false">
      <c r="A87" s="29" t="s">
        <v>952</v>
      </c>
      <c r="B87" s="60" t="s">
        <v>953</v>
      </c>
      <c r="C87" s="61" t="n">
        <f aca="false">SUM(E87:P87)</f>
        <v>570223.845584113</v>
      </c>
      <c r="D87" s="61" t="n">
        <f aca="false">SUM(Q87:AB87)</f>
        <v>581383.06176134</v>
      </c>
      <c r="E87" s="62" t="n">
        <f aca="false">IF(E$5="A",Inputs_Actuals!E109,Client_Register!$J$12+E86-(E86*MIN(1,Client_Register!$I$12/30)+0*MIN(1,MAX(0,(Client_Register!$I$12-30)/30))+0*MIN(1,MAX(0,(Client_Register!$I$12-60)/30))))</f>
        <v>0</v>
      </c>
      <c r="F87" s="62" t="n">
        <f aca="false">IF(F$5="A",Inputs_Actuals!F109,E88+F86-(F86*MIN(1,Client_Register!$I$12/30)+E86*MIN(1,MAX(0,(Client_Register!$I$12-30)/30))+0*MIN(1,MAX(0,(Client_Register!$I$12-60)/30))))</f>
        <v>0</v>
      </c>
      <c r="G87" s="62" t="n">
        <f aca="false">IF(G$5="A",Inputs_Actuals!G109,F88+G86-(G86*MIN(1,Client_Register!$I$12/30)+F86*MIN(1,MAX(0,(Client_Register!$I$12-30)/30))+E86*MIN(1,MAX(0,(Client_Register!$I$12-60)/30))))</f>
        <v>0</v>
      </c>
      <c r="H87" s="62" t="n">
        <f aca="false">IF(H$5="A",Inputs_Actuals!H109,G88+H86-(H86*MIN(1,Client_Register!$I$12/30)+G86*MIN(1,MAX(0,(Client_Register!$I$12-30)/30))+F86*MIN(1,MAX(0,(Client_Register!$I$12-60)/30))))</f>
        <v>0</v>
      </c>
      <c r="I87" s="62" t="n">
        <f aca="false">IF(I$5="A",Inputs_Actuals!I109,H88+I86-(I86*MIN(1,Client_Register!$I$12/30)+H86*MIN(1,MAX(0,(Client_Register!$I$12-30)/30))+G86*MIN(1,MAX(0,(Client_Register!$I$12-60)/30))))</f>
        <v>0</v>
      </c>
      <c r="J87" s="62" t="n">
        <f aca="false">IF(J$5="A",Inputs_Actuals!J109,I88+J86-(J86*MIN(1,Client_Register!$I$12/30)+I86*MIN(1,MAX(0,(Client_Register!$I$12-30)/30))+H86*MIN(1,MAX(0,(Client_Register!$I$12-60)/30))))</f>
        <v>-221.52</v>
      </c>
      <c r="K87" s="62" t="n">
        <f aca="false">IF(K$5="A",Inputs_Actuals!K109,J88+K86-(K86*MIN(1,Client_Register!$I$12/30)+J86*MIN(1,MAX(0,(Client_Register!$I$12-30)/30))+I86*MIN(1,MAX(0,(Client_Register!$I$12-60)/30))))</f>
        <v>47192.74</v>
      </c>
      <c r="L87" s="62" t="n">
        <f aca="false">IF(L$5="A",Inputs_Actuals!L109,K88+L86-(L86*MIN(1,Client_Register!$I$12/30)+K86*MIN(1,MAX(0,(Client_Register!$I$12-30)/30))+J86*MIN(1,MAX(0,(Client_Register!$I$12-60)/30))))</f>
        <v>100224.61</v>
      </c>
      <c r="M87" s="62" t="n">
        <f aca="false">IF(M$5="A",Inputs_Actuals!M109,L88+M86-(M86*MIN(1,Client_Register!$I$12/30)+L86*MIN(1,MAX(0,(Client_Register!$I$12-30)/30))+K86*MIN(1,MAX(0,(Client_Register!$I$12-60)/30))))</f>
        <v>99494.7043</v>
      </c>
      <c r="N87" s="62" t="n">
        <f aca="false">IF(N$5="A",Inputs_Actuals!N109,M88+N86-(N86*MIN(1,Client_Register!$I$12/30)+M86*MIN(1,MAX(0,(Client_Register!$I$12-30)/30))+L86*MIN(1,MAX(0,(Client_Register!$I$12-60)/30))))</f>
        <v>103861.36145</v>
      </c>
      <c r="O87" s="62" t="n">
        <f aca="false">IF(O$5="A",Inputs_Actuals!O109,N88+O86-(O86*MIN(1,Client_Register!$I$12/30)+N86*MIN(1,MAX(0,(Client_Register!$I$12-30)/30))+M86*MIN(1,MAX(0,(Client_Register!$I$12-60)/30))))</f>
        <v>105779.069124674</v>
      </c>
      <c r="P87" s="62" t="n">
        <f aca="false">IF(P$5="A",Inputs_Actuals!P109,O88+P86-(P86*MIN(1,Client_Register!$I$12/30)+O86*MIN(1,MAX(0,(Client_Register!$I$12-30)/30))+N86*MIN(1,MAX(0,(Client_Register!$I$12-60)/30))))</f>
        <v>113892.880709439</v>
      </c>
      <c r="Q87" s="62" t="n">
        <f aca="false">IF(Q$5="A",Inputs_Actuals!Q109,P88+Q86-(Q86*MIN(1,Client_Register!$I$12/30)+P86*MIN(1,MAX(0,(Client_Register!$I$12-30)/30))+O86*MIN(1,MAX(0,(Client_Register!$I$12-60)/30))))</f>
        <v>111159.451572412</v>
      </c>
      <c r="R87" s="62" t="n">
        <f aca="false">IF(R$5="A",Inputs_Actuals!R109,Q88+R86-(R86*MIN(1,Client_Register!$I$12/30)+Q86*MIN(1,MAX(0,(Client_Register!$I$12-30)/30))+P86*MIN(1,MAX(0,(Client_Register!$I$12-60)/30))))</f>
        <v>112070.594618088</v>
      </c>
      <c r="S87" s="62" t="n">
        <f aca="false">IF(S$5="A",Inputs_Actuals!S109,R88+S86-(S86*MIN(1,Client_Register!$I$12/30)+R86*MIN(1,MAX(0,(Client_Register!$I$12-30)/30))+Q86*MIN(1,MAX(0,(Client_Register!$I$12-60)/30))))</f>
        <v>80453.7339078514</v>
      </c>
      <c r="T87" s="62" t="n">
        <f aca="false">IF(T$5="A",Inputs_Actuals!T109,S88+T86-(T86*MIN(1,Client_Register!$I$12/30)+S86*MIN(1,MAX(0,(Client_Register!$I$12-30)/30))+R86*MIN(1,MAX(0,(Client_Register!$I$12-60)/30))))</f>
        <v>48057.649915054</v>
      </c>
      <c r="U87" s="62" t="n">
        <f aca="false">IF(U$5="A",Inputs_Actuals!U109,T88+U86-(U86*MIN(1,Client_Register!$I$12/30)+T86*MIN(1,MAX(0,(Client_Register!$I$12-30)/30))+S86*MIN(1,MAX(0,(Client_Register!$I$12-60)/30))))</f>
        <v>50571.4346798414</v>
      </c>
      <c r="V87" s="62" t="n">
        <f aca="false">IF(V$5="A",Inputs_Actuals!V109,U88+V86-(V86*MIN(1,Client_Register!$I$12/30)+U86*MIN(1,MAX(0,(Client_Register!$I$12-30)/30))+T86*MIN(1,MAX(0,(Client_Register!$I$12-60)/30))))</f>
        <v>53528.8285207678</v>
      </c>
      <c r="W87" s="62" t="n">
        <f aca="false">IF(W$5="A",Inputs_Actuals!W109,V88+W86-(W86*MIN(1,Client_Register!$I$12/30)+V86*MIN(1,MAX(0,(Client_Register!$I$12-30)/30))+U86*MIN(1,MAX(0,(Client_Register!$I$12-60)/30))))</f>
        <v>48205.5196071003</v>
      </c>
      <c r="X87" s="62" t="n">
        <f aca="false">IF(X$5="A",Inputs_Actuals!X109,W88+X86-(X86*MIN(1,Client_Register!$I$12/30)+W86*MIN(1,MAX(0,(Client_Register!$I$12-30)/30))+V86*MIN(1,MAX(0,(Client_Register!$I$12-60)/30))))</f>
        <v>49092.7377593782</v>
      </c>
      <c r="Y87" s="62" t="n">
        <f aca="false">IF(Y$5="A",Inputs_Actuals!Y109,X88+Y86-(Y86*MIN(1,Client_Register!$I$12/30)+X86*MIN(1,MAX(0,(Client_Register!$I$12-30)/30))+W86*MIN(1,MAX(0,(Client_Register!$I$12-60)/30))))</f>
        <v>28243.1111808471</v>
      </c>
      <c r="Z87" s="62" t="n">
        <f aca="false">IF(Z$5="A",Inputs_Actuals!Z109,Y88+Z86-(Z86*MIN(1,Client_Register!$I$12/30)+Y86*MIN(1,MAX(0,(Client_Register!$I$12-30)/30))+X86*MIN(1,MAX(0,(Client_Register!$I$12-60)/30))))</f>
        <v>0</v>
      </c>
      <c r="AA87" s="62" t="n">
        <f aca="false">IF(AA$5="A",Inputs_Actuals!AA109,Z88+AA86-(AA86*MIN(1,Client_Register!$I$12/30)+Z86*MIN(1,MAX(0,(Client_Register!$I$12-30)/30))+Y86*MIN(1,MAX(0,(Client_Register!$I$12-60)/30))))</f>
        <v>0</v>
      </c>
      <c r="AB87" s="62" t="n">
        <f aca="false">IF(AB$5="A",Inputs_Actuals!AB109,AA88+AB86-(AB86*MIN(1,Client_Register!$I$12/30)+AA86*MIN(1,MAX(0,(Client_Register!$I$12-30)/30))+Z86*MIN(1,MAX(0,(Client_Register!$I$12-60)/30))))</f>
        <v>0</v>
      </c>
    </row>
    <row r="88" customFormat="false" ht="15" hidden="false" customHeight="false" outlineLevel="0" collapsed="false">
      <c r="A88" s="68" t="s">
        <v>954</v>
      </c>
      <c r="B88" s="69" t="s">
        <v>955</v>
      </c>
      <c r="C88" s="70" t="n">
        <f aca="false">P88</f>
        <v>166435.46301006</v>
      </c>
      <c r="D88" s="70" t="n">
        <f aca="false">AB88</f>
        <v>0</v>
      </c>
      <c r="E88" s="74" t="n">
        <f aca="false">Client_Register!$J$12+E86-E87</f>
        <v>0</v>
      </c>
      <c r="F88" s="70" t="n">
        <f aca="false">E88+F86-F87</f>
        <v>0</v>
      </c>
      <c r="G88" s="70" t="n">
        <f aca="false">F88+G86-G87</f>
        <v>0</v>
      </c>
      <c r="H88" s="70" t="n">
        <f aca="false">G88+H86-H87</f>
        <v>0</v>
      </c>
      <c r="I88" s="70" t="n">
        <f aca="false">H88+I86-I87</f>
        <v>0</v>
      </c>
      <c r="J88" s="70" t="n">
        <f aca="false">I88+J86-J87</f>
        <v>81695.8458</v>
      </c>
      <c r="K88" s="70" t="n">
        <f aca="false">J88+K86-K87</f>
        <v>143627.5814</v>
      </c>
      <c r="L88" s="70" t="n">
        <f aca="false">K88+L86-L87</f>
        <v>155586.4372</v>
      </c>
      <c r="M88" s="70" t="n">
        <f aca="false">L88+M86-M87</f>
        <v>151630.99</v>
      </c>
      <c r="N88" s="70" t="n">
        <f aca="false">M88+N86-N87</f>
        <v>163788.509699348</v>
      </c>
      <c r="O88" s="70" t="n">
        <f aca="false">N88+O86-O87</f>
        <v>169776.320844204</v>
      </c>
      <c r="P88" s="70" t="n">
        <f aca="false">O88+P86-P87</f>
        <v>166435.46301006</v>
      </c>
      <c r="Q88" s="70" t="n">
        <f aca="false">P88+Q86-Q87</f>
        <v>168865.177798528</v>
      </c>
      <c r="R88" s="70" t="n">
        <f aca="false">Q88+R86-R87</f>
        <v>104112.884635263</v>
      </c>
      <c r="S88" s="70" t="n">
        <f aca="false">R88+S86-S87</f>
        <v>72456.1491026968</v>
      </c>
      <c r="T88" s="70" t="n">
        <f aca="false">S88+T86-T87</f>
        <v>76744.37017204</v>
      </c>
      <c r="U88" s="70" t="n">
        <f aca="false">T88+U86-U87</f>
        <v>80884.721549337</v>
      </c>
      <c r="V88" s="70" t="n">
        <f aca="false">U88+V86-V87</f>
        <v>69055.1461856314</v>
      </c>
      <c r="W88" s="70" t="n">
        <f aca="false">V88+W86-W87</f>
        <v>77335.8489402253</v>
      </c>
      <c r="X88" s="70" t="n">
        <f aca="false">W88+X86-X87</f>
        <v>28243.1111808471</v>
      </c>
      <c r="Y88" s="70" t="n">
        <f aca="false">X88+Y86-Y87</f>
        <v>0</v>
      </c>
      <c r="Z88" s="70" t="n">
        <f aca="false">Y88+Z86-Z87</f>
        <v>0</v>
      </c>
      <c r="AA88" s="70" t="n">
        <f aca="false">Z88+AA86-AA87</f>
        <v>0</v>
      </c>
      <c r="AB88" s="70" t="n">
        <f aca="false">AA88+AB86-AB87</f>
        <v>0</v>
      </c>
    </row>
    <row r="89" customFormat="false" ht="15" hidden="false" customHeight="false" outlineLevel="0" collapsed="false">
      <c r="A89" s="29" t="s">
        <v>956</v>
      </c>
      <c r="B89" s="60"/>
      <c r="C89" s="66" t="n">
        <f aca="false">P89</f>
        <v>45.2567324955117</v>
      </c>
      <c r="D89" s="66" t="n">
        <f aca="false">AB89</f>
        <v>0</v>
      </c>
      <c r="E89" s="67" t="n">
        <f aca="false">IFERROR(E88/SUM(E86:E86)*SUM(Assumptions!E$191:E$191),0)</f>
        <v>0</v>
      </c>
      <c r="F89" s="67" t="n">
        <f aca="false">IFERROR(F88/SUM(E86:F86)*SUM(Assumptions!E$191:F$191),0)</f>
        <v>0</v>
      </c>
      <c r="G89" s="67" t="n">
        <f aca="false">IFERROR(G88/SUM(E86:G86)*SUM(Assumptions!E$191:G$191),0)</f>
        <v>0</v>
      </c>
      <c r="H89" s="67" t="n">
        <f aca="false">IFERROR(H88/SUM(F86:H86)*SUM(Assumptions!F$191:H$191),0)</f>
        <v>0</v>
      </c>
      <c r="I89" s="67" t="n">
        <f aca="false">IFERROR(I88/SUM(G86:I86)*SUM(Assumptions!G$191:I$191),0)</f>
        <v>0</v>
      </c>
      <c r="J89" s="67" t="n">
        <f aca="false">IFERROR(J88/SUM(H86:J86)*SUM(Assumptions!H$191:J$191),0)</f>
        <v>91.2474192919311</v>
      </c>
      <c r="K89" s="67" t="n">
        <f aca="false">IFERROR(K88/SUM(I86:K86)*SUM(Assumptions!I$191:K$191),0)</f>
        <v>69.327495197984</v>
      </c>
      <c r="L89" s="67" t="n">
        <f aca="false">IFERROR(L88/SUM(J86:L86)*SUM(Assumptions!J$191:L$191),0)</f>
        <v>47.2747375689114</v>
      </c>
      <c r="M89" s="67" t="n">
        <f aca="false">IFERROR(M88/SUM(K86:M86)*SUM(Assumptions!K$191:M$191),0)</f>
        <v>44.0276926734449</v>
      </c>
      <c r="N89" s="67" t="n">
        <f aca="false">IFERROR(N88/SUM(L86:N86)*SUM(Assumptions!L$191:N$191),0)</f>
        <v>46.5449689007012</v>
      </c>
      <c r="O89" s="67" t="n">
        <f aca="false">IFERROR(O88/SUM(M86:O86)*SUM(Assumptions!M$191:O$191),0)</f>
        <v>47.7836366254487</v>
      </c>
      <c r="P89" s="67" t="n">
        <f aca="false">IFERROR(P88/SUM(N86:P86)*SUM(Assumptions!N$191:P$191),0)</f>
        <v>45.2567324955117</v>
      </c>
      <c r="Q89" s="67" t="n">
        <f aca="false">IFERROR(Q88/SUM(O86:Q86)*SUM(Assumptions!O$191:Q$191),0)</f>
        <v>46.249547920434</v>
      </c>
      <c r="R89" s="67" t="n">
        <f aca="false">IFERROR(R88/SUM(P86:R86)*SUM(Assumptions!P$191:R$191),0)</f>
        <v>34.5177086766131</v>
      </c>
      <c r="S89" s="67" t="n">
        <f aca="false">IFERROR(S88/SUM(Q86:S86)*SUM(Assumptions!Q$191:S$191),0)</f>
        <v>31.0963974095986</v>
      </c>
      <c r="T89" s="67" t="n">
        <f aca="false">IFERROR(T88/SUM(R86:T86)*SUM(Assumptions!R$191:T$191),0)</f>
        <v>46.0069721115538</v>
      </c>
      <c r="U89" s="67" t="n">
        <f aca="false">IFERROR(U88/SUM(S86:U86)*SUM(Assumptions!S$191:U$191),0)</f>
        <v>47.7457305502846</v>
      </c>
      <c r="V89" s="67" t="n">
        <f aca="false">IFERROR(V88/SUM(T86:V86)*SUM(Assumptions!T$191:V$191),0)</f>
        <v>42.2435387673956</v>
      </c>
      <c r="W89" s="67" t="n">
        <f aca="false">IFERROR(W88/SUM(U86:W86)*SUM(Assumptions!U$191:W$191),0)</f>
        <v>46.5338491295938</v>
      </c>
      <c r="X89" s="67" t="n">
        <f aca="false">IFERROR(X88/SUM(V86:X86)*SUM(Assumptions!V$191:X$191),0)</f>
        <v>26.4638554216867</v>
      </c>
      <c r="Y89" s="67" t="n">
        <f aca="false">IFERROR(Y88/SUM(W86:Y86)*SUM(Assumptions!W$191:Y$191),0)</f>
        <v>0</v>
      </c>
      <c r="Z89" s="67" t="n">
        <f aca="false">IFERROR(Z88/SUM(X86:Z86)*SUM(Assumptions!X$191:Z$191),0)</f>
        <v>0</v>
      </c>
      <c r="AA89" s="67" t="n">
        <f aca="false">IFERROR(AA88/SUM(Y86:AA86)*SUM(Assumptions!Y$191:AA$191),0)</f>
        <v>0</v>
      </c>
      <c r="AB89" s="67" t="n">
        <f aca="false">IFERROR(AB88/SUM(Z86:AB86)*SUM(Assumptions!Z$191:AB$191),0)</f>
        <v>0</v>
      </c>
    </row>
    <row r="90" customFormat="false" ht="15" hidden="false" customHeight="false" outlineLevel="0" collapsed="false">
      <c r="A90" s="29" t="s">
        <v>957</v>
      </c>
      <c r="B90" s="60" t="s">
        <v>51</v>
      </c>
      <c r="C90" s="61" t="n">
        <f aca="false">P90</f>
        <v>95453.0809755298</v>
      </c>
      <c r="D90" s="61" t="n">
        <f aca="false">AB90</f>
        <v>0</v>
      </c>
      <c r="E90" s="62" t="n">
        <f aca="false">Engagements!E221+Engagements!E500</f>
        <v>0</v>
      </c>
      <c r="F90" s="62" t="n">
        <f aca="false">Engagements!F221+Engagements!F500</f>
        <v>0</v>
      </c>
      <c r="G90" s="62" t="n">
        <f aca="false">Engagements!G221+Engagements!G500</f>
        <v>0</v>
      </c>
      <c r="H90" s="62" t="n">
        <f aca="false">Engagements!H221+Engagements!H500</f>
        <v>0</v>
      </c>
      <c r="I90" s="62" t="n">
        <f aca="false">Engagements!I221+Engagements!I500</f>
        <v>68465.82</v>
      </c>
      <c r="J90" s="62" t="n">
        <f aca="false">Engagements!J221+Engagements!J500</f>
        <v>91701.24</v>
      </c>
      <c r="K90" s="62" t="n">
        <f aca="false">Engagements!K221+Engagements!K500</f>
        <v>94271.82</v>
      </c>
      <c r="L90" s="62" t="n">
        <f aca="false">Engagements!L221+Engagements!L500</f>
        <v>80285.09</v>
      </c>
      <c r="M90" s="62" t="n">
        <f aca="false">Engagements!M221+Engagements!M500</f>
        <v>97494.8581086962</v>
      </c>
      <c r="N90" s="62" t="n">
        <f aca="false">Engagements!N221+Engagements!N500</f>
        <v>93921.748125655</v>
      </c>
      <c r="O90" s="62" t="n">
        <f aca="false">Engagements!O221+Engagements!O500</f>
        <v>92900.8595590718</v>
      </c>
      <c r="P90" s="62" t="n">
        <f aca="false">Engagements!P221+Engagements!P500</f>
        <v>95453.0809755298</v>
      </c>
      <c r="Q90" s="62" t="n">
        <f aca="false">Engagements!Q221+Engagements!Q500</f>
        <v>39763.2785334642</v>
      </c>
      <c r="R90" s="62" t="n">
        <f aca="false">Engagements!R221+Engagements!R500</f>
        <v>41005.8809876349</v>
      </c>
      <c r="S90" s="62" t="n">
        <f aca="false">Engagements!S221+Engagements!S500</f>
        <v>43988.1268776447</v>
      </c>
      <c r="T90" s="62" t="n">
        <f aca="false">Engagements!T221+Engagements!T500</f>
        <v>45976.290804318</v>
      </c>
      <c r="U90" s="62" t="n">
        <f aca="false">Engagements!U221+Engagements!U500</f>
        <v>35041.3892076153</v>
      </c>
      <c r="V90" s="62" t="n">
        <f aca="false">Engagements!V221+Engagements!V500</f>
        <v>47467.4137493229</v>
      </c>
      <c r="W90" s="62" t="n">
        <f aca="false">Engagements!W221+Engagements!W500</f>
        <v>0</v>
      </c>
      <c r="X90" s="62" t="n">
        <f aca="false">Engagements!X221+Engagements!X500</f>
        <v>0</v>
      </c>
      <c r="Y90" s="62" t="n">
        <f aca="false">Engagements!Y221+Engagements!Y500</f>
        <v>0</v>
      </c>
      <c r="Z90" s="62" t="n">
        <f aca="false">Engagements!Z221+Engagements!Z500</f>
        <v>0</v>
      </c>
      <c r="AA90" s="62" t="n">
        <f aca="false">Engagements!AA221+Engagements!AA500</f>
        <v>0</v>
      </c>
      <c r="AB90" s="62" t="n">
        <f aca="false">Engagements!AB221+Engagements!AB500</f>
        <v>0</v>
      </c>
    </row>
    <row r="92" customFormat="false" ht="15" hidden="false" customHeight="false" outlineLevel="0" collapsed="false">
      <c r="A92" s="23" t="s">
        <v>963</v>
      </c>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row>
    <row r="93" customFormat="false" ht="15" hidden="false" customHeight="false" outlineLevel="0" collapsed="false">
      <c r="A93" s="29" t="s">
        <v>679</v>
      </c>
      <c r="B93" s="60" t="s">
        <v>51</v>
      </c>
      <c r="C93" s="61" t="n">
        <f aca="false">SUM(E93:P93)</f>
        <v>330000</v>
      </c>
      <c r="D93" s="61" t="n">
        <f aca="false">SUM(Q93:AB93)</f>
        <v>0</v>
      </c>
      <c r="E93" s="62" t="n">
        <f aca="false">Engagements!E139+Engagements!E265</f>
        <v>40615.38</v>
      </c>
      <c r="F93" s="62" t="n">
        <f aca="false">Engagements!F139+Engagements!F265</f>
        <v>41353.85</v>
      </c>
      <c r="G93" s="62" t="n">
        <f aca="false">Engagements!G139+Engagements!G265</f>
        <v>37752.51</v>
      </c>
      <c r="H93" s="62" t="n">
        <f aca="false">Engagements!H139+Engagements!H265</f>
        <v>35500.33</v>
      </c>
      <c r="I93" s="62" t="n">
        <f aca="false">Engagements!I139+Engagements!I265</f>
        <v>34659.31</v>
      </c>
      <c r="J93" s="62" t="n">
        <f aca="false">Engagements!J139+Engagements!J265</f>
        <v>50118.62</v>
      </c>
      <c r="K93" s="62" t="n">
        <f aca="false">Engagements!K139+Engagements!K265</f>
        <v>31725</v>
      </c>
      <c r="L93" s="62" t="n">
        <f aca="false">Engagements!L139+Engagements!L265</f>
        <v>23136.7</v>
      </c>
      <c r="M93" s="62" t="n">
        <f aca="false">Engagements!M139+Engagements!M265</f>
        <v>35138.3</v>
      </c>
      <c r="N93" s="62" t="n">
        <f aca="false">Engagements!N139+Engagements!N265</f>
        <v>0</v>
      </c>
      <c r="O93" s="62" t="n">
        <f aca="false">Engagements!O139+Engagements!O265</f>
        <v>0</v>
      </c>
      <c r="P93" s="62" t="n">
        <f aca="false">Engagements!P139+Engagements!P265</f>
        <v>0</v>
      </c>
      <c r="Q93" s="62" t="n">
        <f aca="false">Engagements!Q139+Engagements!Q265</f>
        <v>0</v>
      </c>
      <c r="R93" s="62" t="n">
        <f aca="false">Engagements!R139+Engagements!R265</f>
        <v>0</v>
      </c>
      <c r="S93" s="62" t="n">
        <f aca="false">Engagements!S139+Engagements!S265</f>
        <v>0</v>
      </c>
      <c r="T93" s="62" t="n">
        <f aca="false">Engagements!T139+Engagements!T265</f>
        <v>0</v>
      </c>
      <c r="U93" s="62" t="n">
        <f aca="false">Engagements!U139+Engagements!U265</f>
        <v>0</v>
      </c>
      <c r="V93" s="62" t="n">
        <f aca="false">Engagements!V139+Engagements!V265</f>
        <v>0</v>
      </c>
      <c r="W93" s="62" t="n">
        <f aca="false">Engagements!W139+Engagements!W265</f>
        <v>0</v>
      </c>
      <c r="X93" s="62" t="n">
        <f aca="false">Engagements!X139+Engagements!X265</f>
        <v>0</v>
      </c>
      <c r="Y93" s="62" t="n">
        <f aca="false">Engagements!Y139+Engagements!Y265</f>
        <v>0</v>
      </c>
      <c r="Z93" s="62" t="n">
        <f aca="false">Engagements!Z139+Engagements!Z265</f>
        <v>0</v>
      </c>
      <c r="AA93" s="62" t="n">
        <f aca="false">Engagements!AA139+Engagements!AA265</f>
        <v>0</v>
      </c>
      <c r="AB93" s="62" t="n">
        <f aca="false">Engagements!AB139+Engagements!AB265</f>
        <v>0</v>
      </c>
    </row>
    <row r="94" customFormat="false" ht="15" hidden="false" customHeight="false" outlineLevel="0" collapsed="false">
      <c r="A94" s="29" t="s">
        <v>498</v>
      </c>
      <c r="B94" s="60" t="s">
        <v>51</v>
      </c>
      <c r="C94" s="61" t="n">
        <f aca="false">SUM(E94:P94)</f>
        <v>0</v>
      </c>
      <c r="D94" s="61" t="n">
        <f aca="false">SUM(Q94:AB94)</f>
        <v>0</v>
      </c>
      <c r="E94" s="71" t="n">
        <f aca="false">0</f>
        <v>0</v>
      </c>
      <c r="F94" s="71" t="n">
        <f aca="false">0</f>
        <v>0</v>
      </c>
      <c r="G94" s="71" t="n">
        <f aca="false">0</f>
        <v>0</v>
      </c>
      <c r="H94" s="71" t="n">
        <f aca="false">0</f>
        <v>0</v>
      </c>
      <c r="I94" s="71" t="n">
        <f aca="false">0</f>
        <v>0</v>
      </c>
      <c r="J94" s="71" t="n">
        <f aca="false">0</f>
        <v>0</v>
      </c>
      <c r="K94" s="71" t="n">
        <f aca="false">0</f>
        <v>0</v>
      </c>
      <c r="L94" s="71" t="n">
        <f aca="false">0</f>
        <v>0</v>
      </c>
      <c r="M94" s="71" t="n">
        <f aca="false">0</f>
        <v>0</v>
      </c>
      <c r="N94" s="71" t="n">
        <f aca="false">0</f>
        <v>0</v>
      </c>
      <c r="O94" s="71" t="n">
        <f aca="false">0</f>
        <v>0</v>
      </c>
      <c r="P94" s="71" t="n">
        <f aca="false">0</f>
        <v>0</v>
      </c>
      <c r="Q94" s="71" t="n">
        <f aca="false">0</f>
        <v>0</v>
      </c>
      <c r="R94" s="71" t="n">
        <f aca="false">0</f>
        <v>0</v>
      </c>
      <c r="S94" s="71" t="n">
        <f aca="false">0</f>
        <v>0</v>
      </c>
      <c r="T94" s="71" t="n">
        <f aca="false">0</f>
        <v>0</v>
      </c>
      <c r="U94" s="71" t="n">
        <f aca="false">0</f>
        <v>0</v>
      </c>
      <c r="V94" s="71" t="n">
        <f aca="false">0</f>
        <v>0</v>
      </c>
      <c r="W94" s="71" t="n">
        <f aca="false">0</f>
        <v>0</v>
      </c>
      <c r="X94" s="71" t="n">
        <f aca="false">0</f>
        <v>0</v>
      </c>
      <c r="Y94" s="71" t="n">
        <f aca="false">0</f>
        <v>0</v>
      </c>
      <c r="Z94" s="71" t="n">
        <f aca="false">0</f>
        <v>0</v>
      </c>
      <c r="AA94" s="71" t="n">
        <f aca="false">0</f>
        <v>0</v>
      </c>
      <c r="AB94" s="71" t="n">
        <f aca="false">0</f>
        <v>0</v>
      </c>
    </row>
    <row r="95" customFormat="false" ht="15" hidden="false" customHeight="false" outlineLevel="0" collapsed="false">
      <c r="A95" s="68" t="s">
        <v>351</v>
      </c>
      <c r="B95" s="69"/>
      <c r="C95" s="70" t="n">
        <f aca="false">SUM(E95:P95)</f>
        <v>330000</v>
      </c>
      <c r="D95" s="70" t="n">
        <f aca="false">SUM(Q95:AB95)</f>
        <v>0</v>
      </c>
      <c r="E95" s="70" t="n">
        <f aca="false">E93+E94</f>
        <v>40615.38</v>
      </c>
      <c r="F95" s="70" t="n">
        <f aca="false">F93+F94</f>
        <v>41353.85</v>
      </c>
      <c r="G95" s="70" t="n">
        <f aca="false">G93+G94</f>
        <v>37752.51</v>
      </c>
      <c r="H95" s="70" t="n">
        <f aca="false">H93+H94</f>
        <v>35500.33</v>
      </c>
      <c r="I95" s="70" t="n">
        <f aca="false">I93+I94</f>
        <v>34659.31</v>
      </c>
      <c r="J95" s="70" t="n">
        <f aca="false">J93+J94</f>
        <v>50118.62</v>
      </c>
      <c r="K95" s="70" t="n">
        <f aca="false">K93+K94</f>
        <v>31725</v>
      </c>
      <c r="L95" s="70" t="n">
        <f aca="false">L93+L94</f>
        <v>23136.7</v>
      </c>
      <c r="M95" s="70" t="n">
        <f aca="false">M93+M94</f>
        <v>35138.3</v>
      </c>
      <c r="N95" s="70" t="n">
        <f aca="false">N93+N94</f>
        <v>0</v>
      </c>
      <c r="O95" s="70" t="n">
        <f aca="false">O93+O94</f>
        <v>0</v>
      </c>
      <c r="P95" s="70" t="n">
        <f aca="false">P93+P94</f>
        <v>0</v>
      </c>
      <c r="Q95" s="70" t="n">
        <f aca="false">Q93+Q94</f>
        <v>0</v>
      </c>
      <c r="R95" s="70" t="n">
        <f aca="false">R93+R94</f>
        <v>0</v>
      </c>
      <c r="S95" s="70" t="n">
        <f aca="false">S93+S94</f>
        <v>0</v>
      </c>
      <c r="T95" s="70" t="n">
        <f aca="false">T93+T94</f>
        <v>0</v>
      </c>
      <c r="U95" s="70" t="n">
        <f aca="false">U93+U94</f>
        <v>0</v>
      </c>
      <c r="V95" s="70" t="n">
        <f aca="false">V93+V94</f>
        <v>0</v>
      </c>
      <c r="W95" s="70" t="n">
        <f aca="false">W93+W94</f>
        <v>0</v>
      </c>
      <c r="X95" s="70" t="n">
        <f aca="false">X93+X94</f>
        <v>0</v>
      </c>
      <c r="Y95" s="70" t="n">
        <f aca="false">Y93+Y94</f>
        <v>0</v>
      </c>
      <c r="Z95" s="70" t="n">
        <f aca="false">Z93+Z94</f>
        <v>0</v>
      </c>
      <c r="AA95" s="70" t="n">
        <f aca="false">AA93+AA94</f>
        <v>0</v>
      </c>
      <c r="AB95" s="70" t="n">
        <f aca="false">AB93+AB94</f>
        <v>0</v>
      </c>
    </row>
    <row r="96" customFormat="false" ht="15" hidden="false" customHeight="false" outlineLevel="0" collapsed="false">
      <c r="A96" s="29" t="s">
        <v>901</v>
      </c>
      <c r="B96" s="60" t="s">
        <v>51</v>
      </c>
      <c r="C96" s="66" t="n">
        <f aca="false">SUM(E96:P96)</f>
        <v>1929.175</v>
      </c>
      <c r="D96" s="66" t="n">
        <f aca="false">SUM(Q96:AB96)</f>
        <v>0</v>
      </c>
      <c r="E96" s="67" t="n">
        <f aca="false">Engagements!E15+Engagements!E23</f>
        <v>220</v>
      </c>
      <c r="F96" s="67" t="n">
        <f aca="false">Engagements!F15+Engagements!F23</f>
        <v>224</v>
      </c>
      <c r="G96" s="67" t="n">
        <f aca="false">Engagements!G15+Engagements!G23</f>
        <v>244.4</v>
      </c>
      <c r="H96" s="67" t="n">
        <f aca="false">Engagements!H15+Engagements!H23</f>
        <v>249.4</v>
      </c>
      <c r="I96" s="67" t="n">
        <f aca="false">Engagements!I15+Engagements!I23</f>
        <v>209.4</v>
      </c>
      <c r="J96" s="67" t="n">
        <f aca="false">Engagements!J15+Engagements!J23</f>
        <v>302.8</v>
      </c>
      <c r="K96" s="67" t="n">
        <f aca="false">Engagements!K15+Engagements!K23</f>
        <v>155.1</v>
      </c>
      <c r="L96" s="67" t="n">
        <f aca="false">Engagements!L15+Engagements!L23</f>
        <v>131.4</v>
      </c>
      <c r="M96" s="67" t="n">
        <f aca="false">Engagements!M15+Engagements!M23</f>
        <v>192.675</v>
      </c>
      <c r="N96" s="67" t="n">
        <f aca="false">Engagements!N15+Engagements!N23</f>
        <v>0</v>
      </c>
      <c r="O96" s="67" t="n">
        <f aca="false">Engagements!O15+Engagements!O23</f>
        <v>0</v>
      </c>
      <c r="P96" s="67" t="n">
        <f aca="false">Engagements!P15+Engagements!P23</f>
        <v>0</v>
      </c>
      <c r="Q96" s="67" t="n">
        <f aca="false">Engagements!Q15+Engagements!Q23</f>
        <v>0</v>
      </c>
      <c r="R96" s="67" t="n">
        <f aca="false">Engagements!R15+Engagements!R23</f>
        <v>0</v>
      </c>
      <c r="S96" s="67" t="n">
        <f aca="false">Engagements!S15+Engagements!S23</f>
        <v>0</v>
      </c>
      <c r="T96" s="67" t="n">
        <f aca="false">Engagements!T15+Engagements!T23</f>
        <v>0</v>
      </c>
      <c r="U96" s="67" t="n">
        <f aca="false">Engagements!U15+Engagements!U23</f>
        <v>0</v>
      </c>
      <c r="V96" s="67" t="n">
        <f aca="false">Engagements!V15+Engagements!V23</f>
        <v>0</v>
      </c>
      <c r="W96" s="67" t="n">
        <f aca="false">Engagements!W15+Engagements!W23</f>
        <v>0</v>
      </c>
      <c r="X96" s="67" t="n">
        <f aca="false">Engagements!X15+Engagements!X23</f>
        <v>0</v>
      </c>
      <c r="Y96" s="67" t="n">
        <f aca="false">Engagements!Y15+Engagements!Y23</f>
        <v>0</v>
      </c>
      <c r="Z96" s="67" t="n">
        <f aca="false">Engagements!Z15+Engagements!Z23</f>
        <v>0</v>
      </c>
      <c r="AA96" s="67" t="n">
        <f aca="false">Engagements!AA15+Engagements!AA23</f>
        <v>0</v>
      </c>
      <c r="AB96" s="67" t="n">
        <f aca="false">Engagements!AB15+Engagements!AB23</f>
        <v>0</v>
      </c>
    </row>
    <row r="97" customFormat="false" ht="15" hidden="false" customHeight="false" outlineLevel="0" collapsed="false">
      <c r="A97" s="29" t="s">
        <v>833</v>
      </c>
      <c r="B97" s="60" t="s">
        <v>51</v>
      </c>
      <c r="C97" s="61" t="n">
        <f aca="false">SUM(E97:P97)</f>
        <v>384212.555</v>
      </c>
      <c r="D97" s="61" t="n">
        <f aca="false">SUM(Q97:AB97)</f>
        <v>0</v>
      </c>
      <c r="E97" s="62" t="n">
        <f aca="false">Engagements!E136+Engagements!E262</f>
        <v>43274</v>
      </c>
      <c r="F97" s="62" t="n">
        <f aca="false">Engagements!F136+Engagements!F262</f>
        <v>44060.8</v>
      </c>
      <c r="G97" s="62" t="n">
        <f aca="false">Engagements!G136+Engagements!G262</f>
        <v>48073.48</v>
      </c>
      <c r="H97" s="62" t="n">
        <f aca="false">Engagements!H136+Engagements!H262</f>
        <v>49056.98</v>
      </c>
      <c r="I97" s="62" t="n">
        <f aca="false">Engagements!I136+Engagements!I262</f>
        <v>41188.98</v>
      </c>
      <c r="J97" s="62" t="n">
        <f aca="false">Engagements!J136+Engagements!J262</f>
        <v>59560.76</v>
      </c>
      <c r="K97" s="62" t="n">
        <f aca="false">Engagements!K136+Engagements!K262</f>
        <v>32043.66</v>
      </c>
      <c r="L97" s="62" t="n">
        <f aca="false">Engagements!L136+Engagements!L262</f>
        <v>27147.24</v>
      </c>
      <c r="M97" s="62" t="n">
        <f aca="false">Engagements!M136+Engagements!M262</f>
        <v>39806.655</v>
      </c>
      <c r="N97" s="62" t="n">
        <f aca="false">Engagements!N136+Engagements!N262</f>
        <v>0</v>
      </c>
      <c r="O97" s="62" t="n">
        <f aca="false">Engagements!O136+Engagements!O262</f>
        <v>0</v>
      </c>
      <c r="P97" s="62" t="n">
        <f aca="false">Engagements!P136+Engagements!P262</f>
        <v>0</v>
      </c>
      <c r="Q97" s="62" t="n">
        <f aca="false">Engagements!Q136+Engagements!Q262</f>
        <v>0</v>
      </c>
      <c r="R97" s="62" t="n">
        <f aca="false">Engagements!R136+Engagements!R262</f>
        <v>0</v>
      </c>
      <c r="S97" s="62" t="n">
        <f aca="false">Engagements!S136+Engagements!S262</f>
        <v>0</v>
      </c>
      <c r="T97" s="62" t="n">
        <f aca="false">Engagements!T136+Engagements!T262</f>
        <v>0</v>
      </c>
      <c r="U97" s="62" t="n">
        <f aca="false">Engagements!U136+Engagements!U262</f>
        <v>0</v>
      </c>
      <c r="V97" s="62" t="n">
        <f aca="false">Engagements!V136+Engagements!V262</f>
        <v>0</v>
      </c>
      <c r="W97" s="62" t="n">
        <f aca="false">Engagements!W136+Engagements!W262</f>
        <v>0</v>
      </c>
      <c r="X97" s="62" t="n">
        <f aca="false">Engagements!X136+Engagements!X262</f>
        <v>0</v>
      </c>
      <c r="Y97" s="62" t="n">
        <f aca="false">Engagements!Y136+Engagements!Y262</f>
        <v>0</v>
      </c>
      <c r="Z97" s="62" t="n">
        <f aca="false">Engagements!Z136+Engagements!Z262</f>
        <v>0</v>
      </c>
      <c r="AA97" s="62" t="n">
        <f aca="false">Engagements!AA136+Engagements!AA262</f>
        <v>0</v>
      </c>
      <c r="AB97" s="62" t="n">
        <f aca="false">Engagements!AB136+Engagements!AB262</f>
        <v>0</v>
      </c>
    </row>
    <row r="98" customFormat="false" ht="15" hidden="false" customHeight="false" outlineLevel="0" collapsed="false">
      <c r="A98" s="29" t="s">
        <v>716</v>
      </c>
      <c r="B98" s="60" t="s">
        <v>51</v>
      </c>
      <c r="C98" s="61" t="n">
        <f aca="false">SUM(E98:P98)</f>
        <v>330000</v>
      </c>
      <c r="D98" s="61" t="n">
        <f aca="false">SUM(Q98:AB98)</f>
        <v>0</v>
      </c>
      <c r="E98" s="62" t="n">
        <f aca="false">Engagements!E141+Engagements!E267</f>
        <v>72000</v>
      </c>
      <c r="F98" s="62" t="n">
        <f aca="false">Engagements!F141+Engagements!F267</f>
        <v>0</v>
      </c>
      <c r="G98" s="62" t="n">
        <f aca="false">Engagements!G141+Engagements!G267</f>
        <v>0</v>
      </c>
      <c r="H98" s="62" t="n">
        <f aca="false">Engagements!H141+Engagements!H267</f>
        <v>96000</v>
      </c>
      <c r="I98" s="62" t="n">
        <f aca="false">Engagements!I141+Engagements!I267</f>
        <v>0</v>
      </c>
      <c r="J98" s="62" t="n">
        <f aca="false">Engagements!J141+Engagements!J267</f>
        <v>72000</v>
      </c>
      <c r="K98" s="62" t="n">
        <f aca="false">Engagements!K141+Engagements!K267</f>
        <v>27000</v>
      </c>
      <c r="L98" s="62" t="n">
        <f aca="false">Engagements!L141+Engagements!L267</f>
        <v>36000</v>
      </c>
      <c r="M98" s="62" t="n">
        <f aca="false">Engagements!M141+Engagements!M267</f>
        <v>27000</v>
      </c>
      <c r="N98" s="62" t="n">
        <f aca="false">Engagements!N141+Engagements!N267</f>
        <v>0</v>
      </c>
      <c r="O98" s="62" t="n">
        <f aca="false">Engagements!O141+Engagements!O267</f>
        <v>0</v>
      </c>
      <c r="P98" s="62" t="n">
        <f aca="false">Engagements!P141+Engagements!P267</f>
        <v>0</v>
      </c>
      <c r="Q98" s="62" t="n">
        <f aca="false">Engagements!Q141+Engagements!Q267</f>
        <v>0</v>
      </c>
      <c r="R98" s="62" t="n">
        <f aca="false">Engagements!R141+Engagements!R267</f>
        <v>0</v>
      </c>
      <c r="S98" s="62" t="n">
        <f aca="false">Engagements!S141+Engagements!S267</f>
        <v>0</v>
      </c>
      <c r="T98" s="62" t="n">
        <f aca="false">Engagements!T141+Engagements!T267</f>
        <v>0</v>
      </c>
      <c r="U98" s="62" t="n">
        <f aca="false">Engagements!U141+Engagements!U267</f>
        <v>0</v>
      </c>
      <c r="V98" s="62" t="n">
        <f aca="false">Engagements!V141+Engagements!V267</f>
        <v>0</v>
      </c>
      <c r="W98" s="62" t="n">
        <f aca="false">Engagements!W141+Engagements!W267</f>
        <v>0</v>
      </c>
      <c r="X98" s="62" t="n">
        <f aca="false">Engagements!X141+Engagements!X267</f>
        <v>0</v>
      </c>
      <c r="Y98" s="62" t="n">
        <f aca="false">Engagements!Y141+Engagements!Y267</f>
        <v>0</v>
      </c>
      <c r="Z98" s="62" t="n">
        <f aca="false">Engagements!Z141+Engagements!Z267</f>
        <v>0</v>
      </c>
      <c r="AA98" s="62" t="n">
        <f aca="false">Engagements!AA141+Engagements!AA267</f>
        <v>0</v>
      </c>
      <c r="AB98" s="62" t="n">
        <f aca="false">Engagements!AB141+Engagements!AB267</f>
        <v>0</v>
      </c>
    </row>
    <row r="99" customFormat="false" ht="15" hidden="false" customHeight="false" outlineLevel="0" collapsed="false">
      <c r="A99" s="29" t="s">
        <v>949</v>
      </c>
      <c r="B99" s="60" t="s">
        <v>950</v>
      </c>
      <c r="C99" s="61" t="n">
        <f aca="false">SUM(E99:P99)</f>
        <v>62700</v>
      </c>
      <c r="D99" s="61" t="n">
        <f aca="false">SUM(Q99:AB99)</f>
        <v>0</v>
      </c>
      <c r="E99" s="62" t="n">
        <f aca="false">E98*Client_Register!$E$13</f>
        <v>13680</v>
      </c>
      <c r="F99" s="62" t="n">
        <f aca="false">F98*Client_Register!$E$13</f>
        <v>0</v>
      </c>
      <c r="G99" s="62" t="n">
        <f aca="false">G98*Client_Register!$E$13</f>
        <v>0</v>
      </c>
      <c r="H99" s="62" t="n">
        <f aca="false">H98*Client_Register!$E$13</f>
        <v>18240</v>
      </c>
      <c r="I99" s="62" t="n">
        <f aca="false">I98*Client_Register!$E$13</f>
        <v>0</v>
      </c>
      <c r="J99" s="62" t="n">
        <f aca="false">J98*Client_Register!$E$13</f>
        <v>13680</v>
      </c>
      <c r="K99" s="62" t="n">
        <f aca="false">K98*Client_Register!$E$13</f>
        <v>5130</v>
      </c>
      <c r="L99" s="62" t="n">
        <f aca="false">L98*Client_Register!$E$13</f>
        <v>6840</v>
      </c>
      <c r="M99" s="62" t="n">
        <f aca="false">M98*Client_Register!$E$13</f>
        <v>5130</v>
      </c>
      <c r="N99" s="62" t="n">
        <f aca="false">N98*Client_Register!$E$13</f>
        <v>0</v>
      </c>
      <c r="O99" s="62" t="n">
        <f aca="false">O98*Client_Register!$E$13</f>
        <v>0</v>
      </c>
      <c r="P99" s="62" t="n">
        <f aca="false">P98*Client_Register!$E$13</f>
        <v>0</v>
      </c>
      <c r="Q99" s="62" t="n">
        <f aca="false">Q98*Client_Register!$E$13</f>
        <v>0</v>
      </c>
      <c r="R99" s="62" t="n">
        <f aca="false">R98*Client_Register!$E$13</f>
        <v>0</v>
      </c>
      <c r="S99" s="62" t="n">
        <f aca="false">S98*Client_Register!$E$13</f>
        <v>0</v>
      </c>
      <c r="T99" s="62" t="n">
        <f aca="false">T98*Client_Register!$E$13</f>
        <v>0</v>
      </c>
      <c r="U99" s="62" t="n">
        <f aca="false">U98*Client_Register!$E$13</f>
        <v>0</v>
      </c>
      <c r="V99" s="62" t="n">
        <f aca="false">V98*Client_Register!$E$13</f>
        <v>0</v>
      </c>
      <c r="W99" s="62" t="n">
        <f aca="false">W98*Client_Register!$E$13</f>
        <v>0</v>
      </c>
      <c r="X99" s="62" t="n">
        <f aca="false">X98*Client_Register!$E$13</f>
        <v>0</v>
      </c>
      <c r="Y99" s="62" t="n">
        <f aca="false">Y98*Client_Register!$E$13</f>
        <v>0</v>
      </c>
      <c r="Z99" s="62" t="n">
        <f aca="false">Z98*Client_Register!$E$13</f>
        <v>0</v>
      </c>
      <c r="AA99" s="62" t="n">
        <f aca="false">AA98*Client_Register!$E$13</f>
        <v>0</v>
      </c>
      <c r="AB99" s="62" t="n">
        <f aca="false">AB98*Client_Register!$E$13</f>
        <v>0</v>
      </c>
    </row>
    <row r="100" customFormat="false" ht="15" hidden="false" customHeight="false" outlineLevel="0" collapsed="false">
      <c r="A100" s="68" t="s">
        <v>951</v>
      </c>
      <c r="B100" s="69"/>
      <c r="C100" s="70" t="n">
        <f aca="false">SUM(E100:P100)</f>
        <v>392700</v>
      </c>
      <c r="D100" s="70" t="n">
        <f aca="false">SUM(Q100:AB100)</f>
        <v>0</v>
      </c>
      <c r="E100" s="70" t="n">
        <f aca="false">E98+E99</f>
        <v>85680</v>
      </c>
      <c r="F100" s="70" t="n">
        <f aca="false">F98+F99</f>
        <v>0</v>
      </c>
      <c r="G100" s="70" t="n">
        <f aca="false">G98+G99</f>
        <v>0</v>
      </c>
      <c r="H100" s="70" t="n">
        <f aca="false">H98+H99</f>
        <v>114240</v>
      </c>
      <c r="I100" s="70" t="n">
        <f aca="false">I98+I99</f>
        <v>0</v>
      </c>
      <c r="J100" s="70" t="n">
        <f aca="false">J98+J99</f>
        <v>85680</v>
      </c>
      <c r="K100" s="70" t="n">
        <f aca="false">K98+K99</f>
        <v>32130</v>
      </c>
      <c r="L100" s="70" t="n">
        <f aca="false">L98+L99</f>
        <v>42840</v>
      </c>
      <c r="M100" s="70" t="n">
        <f aca="false">M98+M99</f>
        <v>32130</v>
      </c>
      <c r="N100" s="70" t="n">
        <f aca="false">N98+N99</f>
        <v>0</v>
      </c>
      <c r="O100" s="70" t="n">
        <f aca="false">O98+O99</f>
        <v>0</v>
      </c>
      <c r="P100" s="70" t="n">
        <f aca="false">P98+P99</f>
        <v>0</v>
      </c>
      <c r="Q100" s="70" t="n">
        <f aca="false">Q98+Q99</f>
        <v>0</v>
      </c>
      <c r="R100" s="70" t="n">
        <f aca="false">R98+R99</f>
        <v>0</v>
      </c>
      <c r="S100" s="70" t="n">
        <f aca="false">S98+S99</f>
        <v>0</v>
      </c>
      <c r="T100" s="70" t="n">
        <f aca="false">T98+T99</f>
        <v>0</v>
      </c>
      <c r="U100" s="70" t="n">
        <f aca="false">U98+U99</f>
        <v>0</v>
      </c>
      <c r="V100" s="70" t="n">
        <f aca="false">V98+V99</f>
        <v>0</v>
      </c>
      <c r="W100" s="70" t="n">
        <f aca="false">W98+W99</f>
        <v>0</v>
      </c>
      <c r="X100" s="70" t="n">
        <f aca="false">X98+X99</f>
        <v>0</v>
      </c>
      <c r="Y100" s="70" t="n">
        <f aca="false">Y98+Y99</f>
        <v>0</v>
      </c>
      <c r="Z100" s="70" t="n">
        <f aca="false">Z98+Z99</f>
        <v>0</v>
      </c>
      <c r="AA100" s="70" t="n">
        <f aca="false">AA98+AA99</f>
        <v>0</v>
      </c>
      <c r="AB100" s="70" t="n">
        <f aca="false">AB98+AB99</f>
        <v>0</v>
      </c>
    </row>
    <row r="101" customFormat="false" ht="15" hidden="false" customHeight="false" outlineLevel="0" collapsed="false">
      <c r="A101" s="29" t="s">
        <v>952</v>
      </c>
      <c r="B101" s="60" t="s">
        <v>953</v>
      </c>
      <c r="C101" s="61" t="n">
        <f aca="false">SUM(E101:P101)</f>
        <v>459421.47</v>
      </c>
      <c r="D101" s="61" t="n">
        <f aca="false">SUM(Q101:AB101)</f>
        <v>0</v>
      </c>
      <c r="E101" s="62" t="n">
        <f aca="false">IF(E$5="A",Inputs_Actuals!E110,Client_Register!$J$13+E100-(E100*MIN(1,Client_Register!$I$13/30)+0*MIN(1,MAX(0,(Client_Register!$I$13-30)/30))+0*MIN(1,MAX(0,(Client_Register!$I$13-60)/30))))</f>
        <v>69442.15</v>
      </c>
      <c r="F101" s="62" t="n">
        <f aca="false">IF(F$5="A",Inputs_Actuals!F110,E102+F100-(F100*MIN(1,Client_Register!$I$13/30)+E100*MIN(1,MAX(0,(Client_Register!$I$13-30)/30))+0*MIN(1,MAX(0,(Client_Register!$I$13-60)/30))))</f>
        <v>82959.32</v>
      </c>
      <c r="G101" s="62" t="n">
        <f aca="false">IF(G$5="A",Inputs_Actuals!G110,F102+G100-(G100*MIN(1,Client_Register!$I$13/30)+F100*MIN(1,MAX(0,(Client_Register!$I$13-30)/30))+E100*MIN(1,MAX(0,(Client_Register!$I$13-60)/30))))</f>
        <v>0</v>
      </c>
      <c r="H101" s="62" t="n">
        <f aca="false">IF(H$5="A",Inputs_Actuals!H110,G102+H100-(H100*MIN(1,Client_Register!$I$13/30)+G100*MIN(1,MAX(0,(Client_Register!$I$13-30)/30))+F100*MIN(1,MAX(0,(Client_Register!$I$13-60)/30))))</f>
        <v>-1365.93</v>
      </c>
      <c r="I101" s="62" t="n">
        <f aca="false">IF(I$5="A",Inputs_Actuals!I110,H102+I100-(I100*MIN(1,Client_Register!$I$13/30)+H100*MIN(1,MAX(0,(Client_Register!$I$13-30)/30))+G100*MIN(1,MAX(0,(Client_Register!$I$13-60)/30))))</f>
        <v>115605.93</v>
      </c>
      <c r="J101" s="62" t="n">
        <f aca="false">IF(J$5="A",Inputs_Actuals!J110,I102+J100-(J100*MIN(1,Client_Register!$I$13/30)+I100*MIN(1,MAX(0,(Client_Register!$I$13-30)/30))+H100*MIN(1,MAX(0,(Client_Register!$I$13-60)/30))))</f>
        <v>-3068.17</v>
      </c>
      <c r="K101" s="62" t="n">
        <f aca="false">IF(K$5="A",Inputs_Actuals!K110,J102+K100-(K100*MIN(1,Client_Register!$I$13/30)+J100*MIN(1,MAX(0,(Client_Register!$I$13-30)/30))+I100*MIN(1,MAX(0,(Client_Register!$I$13-60)/30))))</f>
        <v>88880.68</v>
      </c>
      <c r="L101" s="62" t="n">
        <f aca="false">IF(L$5="A",Inputs_Actuals!L110,K102+L100-(L100*MIN(1,Client_Register!$I$13/30)+K100*MIN(1,MAX(0,(Client_Register!$I$13-30)/30))+J100*MIN(1,MAX(0,(Client_Register!$I$13-60)/30))))</f>
        <v>33305.23</v>
      </c>
      <c r="M101" s="62" t="n">
        <f aca="false">IF(M$5="A",Inputs_Actuals!M110,L102+M100-(M100*MIN(1,Client_Register!$I$13/30)+L100*MIN(1,MAX(0,(Client_Register!$I$13-30)/30))+K100*MIN(1,MAX(0,(Client_Register!$I$13-60)/30))))</f>
        <v>41532.26</v>
      </c>
      <c r="N101" s="62" t="n">
        <f aca="false">IF(N$5="A",Inputs_Actuals!N110,M102+N100-(N100*MIN(1,Client_Register!$I$13/30)+M100*MIN(1,MAX(0,(Client_Register!$I$13-30)/30))+L100*MIN(1,MAX(0,(Client_Register!$I$13-60)/30))))</f>
        <v>32130</v>
      </c>
      <c r="O101" s="62" t="n">
        <f aca="false">IF(O$5="A",Inputs_Actuals!O110,N102+O100-(O100*MIN(1,Client_Register!$I$13/30)+N100*MIN(1,MAX(0,(Client_Register!$I$13-30)/30))+M100*MIN(1,MAX(0,(Client_Register!$I$13-60)/30))))</f>
        <v>0</v>
      </c>
      <c r="P101" s="62" t="n">
        <f aca="false">IF(P$5="A",Inputs_Actuals!P110,O102+P100-(P100*MIN(1,Client_Register!$I$13/30)+O100*MIN(1,MAX(0,(Client_Register!$I$13-30)/30))+N100*MIN(1,MAX(0,(Client_Register!$I$13-60)/30))))</f>
        <v>0</v>
      </c>
      <c r="Q101" s="62" t="n">
        <f aca="false">IF(Q$5="A",Inputs_Actuals!Q110,P102+Q100-(Q100*MIN(1,Client_Register!$I$13/30)+P100*MIN(1,MAX(0,(Client_Register!$I$13-30)/30))+O100*MIN(1,MAX(0,(Client_Register!$I$13-60)/30))))</f>
        <v>0</v>
      </c>
      <c r="R101" s="62" t="n">
        <f aca="false">IF(R$5="A",Inputs_Actuals!R110,Q102+R100-(R100*MIN(1,Client_Register!$I$13/30)+Q100*MIN(1,MAX(0,(Client_Register!$I$13-30)/30))+P100*MIN(1,MAX(0,(Client_Register!$I$13-60)/30))))</f>
        <v>0</v>
      </c>
      <c r="S101" s="62" t="n">
        <f aca="false">IF(S$5="A",Inputs_Actuals!S110,R102+S100-(S100*MIN(1,Client_Register!$I$13/30)+R100*MIN(1,MAX(0,(Client_Register!$I$13-30)/30))+Q100*MIN(1,MAX(0,(Client_Register!$I$13-60)/30))))</f>
        <v>0</v>
      </c>
      <c r="T101" s="62" t="n">
        <f aca="false">IF(T$5="A",Inputs_Actuals!T110,S102+T100-(T100*MIN(1,Client_Register!$I$13/30)+S100*MIN(1,MAX(0,(Client_Register!$I$13-30)/30))+R100*MIN(1,MAX(0,(Client_Register!$I$13-60)/30))))</f>
        <v>0</v>
      </c>
      <c r="U101" s="62" t="n">
        <f aca="false">IF(U$5="A",Inputs_Actuals!U110,T102+U100-(U100*MIN(1,Client_Register!$I$13/30)+T100*MIN(1,MAX(0,(Client_Register!$I$13-30)/30))+S100*MIN(1,MAX(0,(Client_Register!$I$13-60)/30))))</f>
        <v>0</v>
      </c>
      <c r="V101" s="62" t="n">
        <f aca="false">IF(V$5="A",Inputs_Actuals!V110,U102+V100-(V100*MIN(1,Client_Register!$I$13/30)+U100*MIN(1,MAX(0,(Client_Register!$I$13-30)/30))+T100*MIN(1,MAX(0,(Client_Register!$I$13-60)/30))))</f>
        <v>0</v>
      </c>
      <c r="W101" s="62" t="n">
        <f aca="false">IF(W$5="A",Inputs_Actuals!W110,V102+W100-(W100*MIN(1,Client_Register!$I$13/30)+V100*MIN(1,MAX(0,(Client_Register!$I$13-30)/30))+U100*MIN(1,MAX(0,(Client_Register!$I$13-60)/30))))</f>
        <v>0</v>
      </c>
      <c r="X101" s="62" t="n">
        <f aca="false">IF(X$5="A",Inputs_Actuals!X110,W102+X100-(X100*MIN(1,Client_Register!$I$13/30)+W100*MIN(1,MAX(0,(Client_Register!$I$13-30)/30))+V100*MIN(1,MAX(0,(Client_Register!$I$13-60)/30))))</f>
        <v>0</v>
      </c>
      <c r="Y101" s="62" t="n">
        <f aca="false">IF(Y$5="A",Inputs_Actuals!Y110,X102+Y100-(Y100*MIN(1,Client_Register!$I$13/30)+X100*MIN(1,MAX(0,(Client_Register!$I$13-30)/30))+W100*MIN(1,MAX(0,(Client_Register!$I$13-60)/30))))</f>
        <v>0</v>
      </c>
      <c r="Z101" s="62" t="n">
        <f aca="false">IF(Z$5="A",Inputs_Actuals!Z110,Y102+Z100-(Z100*MIN(1,Client_Register!$I$13/30)+Y100*MIN(1,MAX(0,(Client_Register!$I$13-30)/30))+X100*MIN(1,MAX(0,(Client_Register!$I$13-60)/30))))</f>
        <v>0</v>
      </c>
      <c r="AA101" s="62" t="n">
        <f aca="false">IF(AA$5="A",Inputs_Actuals!AA110,Z102+AA100-(AA100*MIN(1,Client_Register!$I$13/30)+Z100*MIN(1,MAX(0,(Client_Register!$I$13-30)/30))+Y100*MIN(1,MAX(0,(Client_Register!$I$13-60)/30))))</f>
        <v>0</v>
      </c>
      <c r="AB101" s="62" t="n">
        <f aca="false">IF(AB$5="A",Inputs_Actuals!AB110,AA102+AB100-(AB100*MIN(1,Client_Register!$I$13/30)+AA100*MIN(1,MAX(0,(Client_Register!$I$13-30)/30))+Z100*MIN(1,MAX(0,(Client_Register!$I$13-60)/30))))</f>
        <v>0</v>
      </c>
    </row>
    <row r="102" customFormat="false" ht="15" hidden="false" customHeight="false" outlineLevel="0" collapsed="false">
      <c r="A102" s="68" t="s">
        <v>954</v>
      </c>
      <c r="B102" s="69" t="s">
        <v>955</v>
      </c>
      <c r="C102" s="70" t="n">
        <f aca="false">P102</f>
        <v>0</v>
      </c>
      <c r="D102" s="70" t="n">
        <f aca="false">AB102</f>
        <v>0</v>
      </c>
      <c r="E102" s="74" t="n">
        <f aca="false">Client_Register!$J$13+E100-E101</f>
        <v>82959.32</v>
      </c>
      <c r="F102" s="70" t="n">
        <f aca="false">E102+F100-F101</f>
        <v>0</v>
      </c>
      <c r="G102" s="70" t="n">
        <f aca="false">F102+G100-G101</f>
        <v>0</v>
      </c>
      <c r="H102" s="70" t="n">
        <f aca="false">G102+H100-H101</f>
        <v>115605.93</v>
      </c>
      <c r="I102" s="70" t="n">
        <f aca="false">H102+I100-I101</f>
        <v>0</v>
      </c>
      <c r="J102" s="70" t="n">
        <f aca="false">I102+J100-J101</f>
        <v>88748.17</v>
      </c>
      <c r="K102" s="70" t="n">
        <f aca="false">J102+K100-K101</f>
        <v>31997.49</v>
      </c>
      <c r="L102" s="70" t="n">
        <f aca="false">K102+L100-L101</f>
        <v>41532.26</v>
      </c>
      <c r="M102" s="70" t="n">
        <f aca="false">L102+M100-M101</f>
        <v>32130</v>
      </c>
      <c r="N102" s="70" t="n">
        <f aca="false">M102+N100-N101</f>
        <v>0</v>
      </c>
      <c r="O102" s="70" t="n">
        <f aca="false">N102+O100-O101</f>
        <v>0</v>
      </c>
      <c r="P102" s="70" t="n">
        <f aca="false">O102+P100-P101</f>
        <v>0</v>
      </c>
      <c r="Q102" s="70" t="n">
        <f aca="false">P102+Q100-Q101</f>
        <v>0</v>
      </c>
      <c r="R102" s="70" t="n">
        <f aca="false">Q102+R100-R101</f>
        <v>0</v>
      </c>
      <c r="S102" s="70" t="n">
        <f aca="false">R102+S100-S101</f>
        <v>0</v>
      </c>
      <c r="T102" s="70" t="n">
        <f aca="false">S102+T100-T101</f>
        <v>0</v>
      </c>
      <c r="U102" s="70" t="n">
        <f aca="false">T102+U100-U101</f>
        <v>0</v>
      </c>
      <c r="V102" s="70" t="n">
        <f aca="false">U102+V100-V101</f>
        <v>0</v>
      </c>
      <c r="W102" s="70" t="n">
        <f aca="false">V102+W100-W101</f>
        <v>0</v>
      </c>
      <c r="X102" s="70" t="n">
        <f aca="false">W102+X100-X101</f>
        <v>0</v>
      </c>
      <c r="Y102" s="70" t="n">
        <f aca="false">X102+Y100-Y101</f>
        <v>0</v>
      </c>
      <c r="Z102" s="70" t="n">
        <f aca="false">Y102+Z100-Z101</f>
        <v>0</v>
      </c>
      <c r="AA102" s="70" t="n">
        <f aca="false">Z102+AA100-AA101</f>
        <v>0</v>
      </c>
      <c r="AB102" s="70" t="n">
        <f aca="false">AA102+AB100-AB101</f>
        <v>0</v>
      </c>
    </row>
    <row r="103" customFormat="false" ht="15" hidden="false" customHeight="false" outlineLevel="0" collapsed="false">
      <c r="A103" s="29" t="s">
        <v>956</v>
      </c>
      <c r="B103" s="60"/>
      <c r="C103" s="66" t="n">
        <f aca="false">P103</f>
        <v>0</v>
      </c>
      <c r="D103" s="66" t="n">
        <f aca="false">AB103</f>
        <v>0</v>
      </c>
      <c r="E103" s="67" t="n">
        <f aca="false">IFERROR(E102/SUM(E100:E100)*SUM(Assumptions!E$191:E$191),0)</f>
        <v>30.015626984127</v>
      </c>
      <c r="F103" s="67" t="n">
        <f aca="false">IFERROR(F102/SUM(E100:F100)*SUM(Assumptions!E$191:F$191),0)</f>
        <v>0</v>
      </c>
      <c r="G103" s="67" t="n">
        <f aca="false">IFERROR(G102/SUM(E100:G100)*SUM(Assumptions!E$191:G$191),0)</f>
        <v>0</v>
      </c>
      <c r="H103" s="67" t="n">
        <f aca="false">IFERROR(H102/SUM(F100:H100)*SUM(Assumptions!F$191:H$191),0)</f>
        <v>90.064143644958</v>
      </c>
      <c r="I103" s="67" t="n">
        <f aca="false">IFERROR(I102/SUM(G100:I100)*SUM(Assumptions!G$191:I$191),0)</f>
        <v>0</v>
      </c>
      <c r="J103" s="67" t="n">
        <f aca="false">IFERROR(J102/SUM(H100:J100)*SUM(Assumptions!H$191:J$191),0)</f>
        <v>40.3965759803922</v>
      </c>
      <c r="K103" s="67" t="n">
        <f aca="false">IFERROR(K102/SUM(I100:K100)*SUM(Assumptions!I$191:K$191),0)</f>
        <v>24.9874295900178</v>
      </c>
      <c r="L103" s="67" t="n">
        <f aca="false">IFERROR(L102/SUM(J100:L100)*SUM(Assumptions!J$191:L$191),0)</f>
        <v>23.7844252723312</v>
      </c>
      <c r="M103" s="67" t="n">
        <f aca="false">IFERROR(M102/SUM(K100:M100)*SUM(Assumptions!K$191:M$191),0)</f>
        <v>27.6</v>
      </c>
      <c r="N103" s="67" t="n">
        <f aca="false">IFERROR(N102/SUM(L100:N100)*SUM(Assumptions!L$191:N$191),0)</f>
        <v>0</v>
      </c>
      <c r="O103" s="67" t="n">
        <f aca="false">IFERROR(O102/SUM(M100:O100)*SUM(Assumptions!M$191:O$191),0)</f>
        <v>0</v>
      </c>
      <c r="P103" s="67" t="n">
        <f aca="false">IFERROR(P102/SUM(N100:P100)*SUM(Assumptions!N$191:P$191),0)</f>
        <v>0</v>
      </c>
      <c r="Q103" s="67" t="n">
        <f aca="false">IFERROR(Q102/SUM(O100:Q100)*SUM(Assumptions!O$191:Q$191),0)</f>
        <v>0</v>
      </c>
      <c r="R103" s="67" t="n">
        <f aca="false">IFERROR(R102/SUM(P100:R100)*SUM(Assumptions!P$191:R$191),0)</f>
        <v>0</v>
      </c>
      <c r="S103" s="67" t="n">
        <f aca="false">IFERROR(S102/SUM(Q100:S100)*SUM(Assumptions!Q$191:S$191),0)</f>
        <v>0</v>
      </c>
      <c r="T103" s="67" t="n">
        <f aca="false">IFERROR(T102/SUM(R100:T100)*SUM(Assumptions!R$191:T$191),0)</f>
        <v>0</v>
      </c>
      <c r="U103" s="67" t="n">
        <f aca="false">IFERROR(U102/SUM(S100:U100)*SUM(Assumptions!S$191:U$191),0)</f>
        <v>0</v>
      </c>
      <c r="V103" s="67" t="n">
        <f aca="false">IFERROR(V102/SUM(T100:V100)*SUM(Assumptions!T$191:V$191),0)</f>
        <v>0</v>
      </c>
      <c r="W103" s="67" t="n">
        <f aca="false">IFERROR(W102/SUM(U100:W100)*SUM(Assumptions!U$191:W$191),0)</f>
        <v>0</v>
      </c>
      <c r="X103" s="67" t="n">
        <f aca="false">IFERROR(X102/SUM(V100:X100)*SUM(Assumptions!V$191:X$191),0)</f>
        <v>0</v>
      </c>
      <c r="Y103" s="67" t="n">
        <f aca="false">IFERROR(Y102/SUM(W100:Y100)*SUM(Assumptions!W$191:Y$191),0)</f>
        <v>0</v>
      </c>
      <c r="Z103" s="67" t="n">
        <f aca="false">IFERROR(Z102/SUM(X100:Z100)*SUM(Assumptions!X$191:Z$191),0)</f>
        <v>0</v>
      </c>
      <c r="AA103" s="67" t="n">
        <f aca="false">IFERROR(AA102/SUM(Y100:AA100)*SUM(Assumptions!Y$191:AA$191),0)</f>
        <v>0</v>
      </c>
      <c r="AB103" s="67" t="n">
        <f aca="false">IFERROR(AB102/SUM(Z100:AB100)*SUM(Assumptions!Z$191:AB$191),0)</f>
        <v>0</v>
      </c>
    </row>
    <row r="104" customFormat="false" ht="15" hidden="false" customHeight="false" outlineLevel="0" collapsed="false">
      <c r="A104" s="29" t="s">
        <v>957</v>
      </c>
      <c r="B104" s="60" t="s">
        <v>51</v>
      </c>
      <c r="C104" s="61" t="n">
        <f aca="false">P104</f>
        <v>0</v>
      </c>
      <c r="D104" s="61" t="n">
        <f aca="false">AB104</f>
        <v>0</v>
      </c>
      <c r="E104" s="62" t="n">
        <f aca="false">Engagements!E144+Engagements!E270</f>
        <v>-31384.62</v>
      </c>
      <c r="F104" s="62" t="n">
        <f aca="false">Engagements!F144+Engagements!F270</f>
        <v>9969.23</v>
      </c>
      <c r="G104" s="62" t="n">
        <f aca="false">Engagements!G144+Engagements!G270</f>
        <v>47721.74</v>
      </c>
      <c r="H104" s="62" t="n">
        <f aca="false">Engagements!H144+Engagements!H270</f>
        <v>-12777.93</v>
      </c>
      <c r="I104" s="62" t="n">
        <f aca="false">Engagements!I144+Engagements!I270</f>
        <v>21881.38</v>
      </c>
      <c r="J104" s="62" t="n">
        <f aca="false">Engagements!J144+Engagements!J270</f>
        <v>0</v>
      </c>
      <c r="K104" s="62" t="n">
        <f aca="false">Engagements!K144+Engagements!K270</f>
        <v>4725</v>
      </c>
      <c r="L104" s="62" t="n">
        <f aca="false">Engagements!L144+Engagements!L270</f>
        <v>-8138.3</v>
      </c>
      <c r="M104" s="62" t="n">
        <f aca="false">Engagements!M144+Engagements!M270</f>
        <v>0</v>
      </c>
      <c r="N104" s="62" t="n">
        <f aca="false">Engagements!N144+Engagements!N270</f>
        <v>0</v>
      </c>
      <c r="O104" s="62" t="n">
        <f aca="false">Engagements!O144+Engagements!O270</f>
        <v>0</v>
      </c>
      <c r="P104" s="62" t="n">
        <f aca="false">Engagements!P144+Engagements!P270</f>
        <v>0</v>
      </c>
      <c r="Q104" s="62" t="n">
        <f aca="false">Engagements!Q144+Engagements!Q270</f>
        <v>0</v>
      </c>
      <c r="R104" s="62" t="n">
        <f aca="false">Engagements!R144+Engagements!R270</f>
        <v>0</v>
      </c>
      <c r="S104" s="62" t="n">
        <f aca="false">Engagements!S144+Engagements!S270</f>
        <v>0</v>
      </c>
      <c r="T104" s="62" t="n">
        <f aca="false">Engagements!T144+Engagements!T270</f>
        <v>0</v>
      </c>
      <c r="U104" s="62" t="n">
        <f aca="false">Engagements!U144+Engagements!U270</f>
        <v>0</v>
      </c>
      <c r="V104" s="62" t="n">
        <f aca="false">Engagements!V144+Engagements!V270</f>
        <v>0</v>
      </c>
      <c r="W104" s="62" t="n">
        <f aca="false">Engagements!W144+Engagements!W270</f>
        <v>0</v>
      </c>
      <c r="X104" s="62" t="n">
        <f aca="false">Engagements!X144+Engagements!X270</f>
        <v>0</v>
      </c>
      <c r="Y104" s="62" t="n">
        <f aca="false">Engagements!Y144+Engagements!Y270</f>
        <v>0</v>
      </c>
      <c r="Z104" s="62" t="n">
        <f aca="false">Engagements!Z144+Engagements!Z270</f>
        <v>0</v>
      </c>
      <c r="AA104" s="62" t="n">
        <f aca="false">Engagements!AA144+Engagements!AA270</f>
        <v>0</v>
      </c>
      <c r="AB104" s="62" t="n">
        <f aca="false">Engagements!AB144+Engagements!AB270</f>
        <v>0</v>
      </c>
    </row>
    <row r="106" customFormat="false" ht="15" hidden="false" customHeight="false" outlineLevel="0" collapsed="false">
      <c r="A106" s="23" t="s">
        <v>964</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row>
    <row r="107" customFormat="false" ht="15" hidden="false" customHeight="false" outlineLevel="0" collapsed="false">
      <c r="A107" s="29" t="s">
        <v>679</v>
      </c>
      <c r="B107" s="60" t="s">
        <v>51</v>
      </c>
      <c r="C107" s="61" t="n">
        <f aca="false">SUM(E107:P107)</f>
        <v>425000</v>
      </c>
      <c r="D107" s="61" t="n">
        <f aca="false">SUM(Q107:AB107)</f>
        <v>117000</v>
      </c>
      <c r="E107" s="62" t="n">
        <f aca="false">Engagements!E185+Engagements!E202+Engagements!E510</f>
        <v>0</v>
      </c>
      <c r="F107" s="62" t="n">
        <f aca="false">Engagements!F185+Engagements!F202+Engagements!F510</f>
        <v>0</v>
      </c>
      <c r="G107" s="62" t="n">
        <f aca="false">Engagements!G185+Engagements!G202+Engagements!G510</f>
        <v>33854.82</v>
      </c>
      <c r="H107" s="62" t="n">
        <f aca="false">Engagements!H185+Engagements!H202+Engagements!H510</f>
        <v>56382.38</v>
      </c>
      <c r="I107" s="62" t="n">
        <f aca="false">Engagements!I185+Engagements!I202+Engagements!I510</f>
        <v>49236.51</v>
      </c>
      <c r="J107" s="62" t="n">
        <f aca="false">Engagements!J185+Engagements!J202+Engagements!J510</f>
        <v>60313.05</v>
      </c>
      <c r="K107" s="62" t="n">
        <f aca="false">Engagements!K185+Engagements!K202+Engagements!K510</f>
        <v>68757.08</v>
      </c>
      <c r="L107" s="62" t="n">
        <f aca="false">Engagements!L185+Engagements!L202+Engagements!L510</f>
        <v>53909.05</v>
      </c>
      <c r="M107" s="62" t="n">
        <f aca="false">Engagements!M185+Engagements!M202+Engagements!M510</f>
        <v>67104.6709756098</v>
      </c>
      <c r="N107" s="62" t="n">
        <f aca="false">Engagements!N185+Engagements!N202+Engagements!N510</f>
        <v>35442.4390243902</v>
      </c>
      <c r="O107" s="62" t="n">
        <f aca="false">Engagements!O185+Engagements!O202+Engagements!O510</f>
        <v>0</v>
      </c>
      <c r="P107" s="62" t="n">
        <f aca="false">Engagements!P185+Engagements!P202+Engagements!P510</f>
        <v>0</v>
      </c>
      <c r="Q107" s="62" t="n">
        <f aca="false">Engagements!Q185+Engagements!Q202+Engagements!Q510</f>
        <v>0</v>
      </c>
      <c r="R107" s="62" t="n">
        <f aca="false">Engagements!R185+Engagements!R202+Engagements!R510</f>
        <v>18491.3793103448</v>
      </c>
      <c r="S107" s="62" t="n">
        <f aca="false">Engagements!S185+Engagements!S202+Engagements!S510</f>
        <v>19836.2068965517</v>
      </c>
      <c r="T107" s="62" t="n">
        <f aca="false">Engagements!T185+Engagements!T202+Engagements!T510</f>
        <v>20732.7586206896</v>
      </c>
      <c r="U107" s="62" t="n">
        <f aca="false">Engagements!U185+Engagements!U202+Engagements!U510</f>
        <v>15801.724137931</v>
      </c>
      <c r="V107" s="62" t="n">
        <f aca="false">Engagements!V185+Engagements!V202+Engagements!V510</f>
        <v>21405.1724137931</v>
      </c>
      <c r="W107" s="62" t="n">
        <f aca="false">Engagements!W185+Engagements!W202+Engagements!W510</f>
        <v>20732.7586206897</v>
      </c>
      <c r="X107" s="62" t="n">
        <f aca="false">Engagements!X185+Engagements!X202+Engagements!X510</f>
        <v>0</v>
      </c>
      <c r="Y107" s="62" t="n">
        <f aca="false">Engagements!Y185+Engagements!Y202+Engagements!Y510</f>
        <v>0</v>
      </c>
      <c r="Z107" s="62" t="n">
        <f aca="false">Engagements!Z185+Engagements!Z202+Engagements!Z510</f>
        <v>0</v>
      </c>
      <c r="AA107" s="62" t="n">
        <f aca="false">Engagements!AA185+Engagements!AA202+Engagements!AA510</f>
        <v>0</v>
      </c>
      <c r="AB107" s="62" t="n">
        <f aca="false">Engagements!AB185+Engagements!AB202+Engagements!AB510</f>
        <v>0</v>
      </c>
    </row>
    <row r="108" customFormat="false" ht="15" hidden="false" customHeight="false" outlineLevel="0" collapsed="false">
      <c r="A108" s="29" t="s">
        <v>498</v>
      </c>
      <c r="B108" s="60" t="s">
        <v>51</v>
      </c>
      <c r="C108" s="61" t="n">
        <f aca="false">SUM(E108:P108)</f>
        <v>11621.28</v>
      </c>
      <c r="D108" s="61" t="n">
        <f aca="false">SUM(Q108:AB108)</f>
        <v>0</v>
      </c>
      <c r="E108" s="62" t="n">
        <f aca="false">Engagements!E189</f>
        <v>0</v>
      </c>
      <c r="F108" s="62" t="n">
        <f aca="false">Engagements!F189</f>
        <v>0</v>
      </c>
      <c r="G108" s="62" t="n">
        <f aca="false">Engagements!G189</f>
        <v>1309.6</v>
      </c>
      <c r="H108" s="62" t="n">
        <f aca="false">Engagements!H189</f>
        <v>1410.85</v>
      </c>
      <c r="I108" s="62" t="n">
        <f aca="false">Engagements!I189</f>
        <v>983.01</v>
      </c>
      <c r="J108" s="62" t="n">
        <f aca="false">Engagements!J189</f>
        <v>1555.19</v>
      </c>
      <c r="K108" s="62" t="n">
        <f aca="false">Engagements!K189</f>
        <v>1750.05</v>
      </c>
      <c r="L108" s="62" t="n">
        <f aca="false">Engagements!L189</f>
        <v>1346.66</v>
      </c>
      <c r="M108" s="62" t="n">
        <f aca="false">Engagements!M189</f>
        <v>1663.44192</v>
      </c>
      <c r="N108" s="62" t="n">
        <f aca="false">Engagements!N189</f>
        <v>1602.47808</v>
      </c>
      <c r="O108" s="62" t="n">
        <f aca="false">Engagements!O189</f>
        <v>0</v>
      </c>
      <c r="P108" s="62" t="n">
        <f aca="false">Engagements!P189</f>
        <v>0</v>
      </c>
      <c r="Q108" s="62" t="n">
        <f aca="false">Engagements!Q189</f>
        <v>0</v>
      </c>
      <c r="R108" s="62" t="n">
        <f aca="false">Engagements!R189</f>
        <v>0</v>
      </c>
      <c r="S108" s="62" t="n">
        <f aca="false">Engagements!S189</f>
        <v>0</v>
      </c>
      <c r="T108" s="62" t="n">
        <f aca="false">Engagements!T189</f>
        <v>0</v>
      </c>
      <c r="U108" s="62" t="n">
        <f aca="false">Engagements!U189</f>
        <v>0</v>
      </c>
      <c r="V108" s="62" t="n">
        <f aca="false">Engagements!V189</f>
        <v>0</v>
      </c>
      <c r="W108" s="62" t="n">
        <f aca="false">Engagements!W189</f>
        <v>0</v>
      </c>
      <c r="X108" s="62" t="n">
        <f aca="false">Engagements!X189</f>
        <v>0</v>
      </c>
      <c r="Y108" s="62" t="n">
        <f aca="false">Engagements!Y189</f>
        <v>0</v>
      </c>
      <c r="Z108" s="62" t="n">
        <f aca="false">Engagements!Z189</f>
        <v>0</v>
      </c>
      <c r="AA108" s="62" t="n">
        <f aca="false">Engagements!AA189</f>
        <v>0</v>
      </c>
      <c r="AB108" s="62" t="n">
        <f aca="false">Engagements!AB189</f>
        <v>0</v>
      </c>
    </row>
    <row r="109" customFormat="false" ht="15" hidden="false" customHeight="false" outlineLevel="0" collapsed="false">
      <c r="A109" s="68" t="s">
        <v>351</v>
      </c>
      <c r="B109" s="69"/>
      <c r="C109" s="70" t="n">
        <f aca="false">SUM(E109:P109)</f>
        <v>436621.28</v>
      </c>
      <c r="D109" s="70" t="n">
        <f aca="false">SUM(Q109:AB109)</f>
        <v>117000</v>
      </c>
      <c r="E109" s="70" t="n">
        <f aca="false">E107+E108</f>
        <v>0</v>
      </c>
      <c r="F109" s="70" t="n">
        <f aca="false">F107+F108</f>
        <v>0</v>
      </c>
      <c r="G109" s="70" t="n">
        <f aca="false">G107+G108</f>
        <v>35164.42</v>
      </c>
      <c r="H109" s="70" t="n">
        <f aca="false">H107+H108</f>
        <v>57793.23</v>
      </c>
      <c r="I109" s="70" t="n">
        <f aca="false">I107+I108</f>
        <v>50219.52</v>
      </c>
      <c r="J109" s="70" t="n">
        <f aca="false">J107+J108</f>
        <v>61868.24</v>
      </c>
      <c r="K109" s="70" t="n">
        <f aca="false">K107+K108</f>
        <v>70507.13</v>
      </c>
      <c r="L109" s="70" t="n">
        <f aca="false">L107+L108</f>
        <v>55255.71</v>
      </c>
      <c r="M109" s="70" t="n">
        <f aca="false">M107+M108</f>
        <v>68768.1128956098</v>
      </c>
      <c r="N109" s="70" t="n">
        <f aca="false">N107+N108</f>
        <v>37044.9171043902</v>
      </c>
      <c r="O109" s="70" t="n">
        <f aca="false">O107+O108</f>
        <v>0</v>
      </c>
      <c r="P109" s="70" t="n">
        <f aca="false">P107+P108</f>
        <v>0</v>
      </c>
      <c r="Q109" s="70" t="n">
        <f aca="false">Q107+Q108</f>
        <v>0</v>
      </c>
      <c r="R109" s="70" t="n">
        <f aca="false">R107+R108</f>
        <v>18491.3793103448</v>
      </c>
      <c r="S109" s="70" t="n">
        <f aca="false">S107+S108</f>
        <v>19836.2068965517</v>
      </c>
      <c r="T109" s="70" t="n">
        <f aca="false">T107+T108</f>
        <v>20732.7586206896</v>
      </c>
      <c r="U109" s="70" t="n">
        <f aca="false">U107+U108</f>
        <v>15801.724137931</v>
      </c>
      <c r="V109" s="70" t="n">
        <f aca="false">V107+V108</f>
        <v>21405.1724137931</v>
      </c>
      <c r="W109" s="70" t="n">
        <f aca="false">W107+W108</f>
        <v>20732.7586206897</v>
      </c>
      <c r="X109" s="70" t="n">
        <f aca="false">X107+X108</f>
        <v>0</v>
      </c>
      <c r="Y109" s="70" t="n">
        <f aca="false">Y107+Y108</f>
        <v>0</v>
      </c>
      <c r="Z109" s="70" t="n">
        <f aca="false">Z107+Z108</f>
        <v>0</v>
      </c>
      <c r="AA109" s="70" t="n">
        <f aca="false">AA107+AA108</f>
        <v>0</v>
      </c>
      <c r="AB109" s="70" t="n">
        <f aca="false">AB107+AB108</f>
        <v>0</v>
      </c>
    </row>
    <row r="110" customFormat="false" ht="15" hidden="false" customHeight="false" outlineLevel="0" collapsed="false">
      <c r="A110" s="29" t="s">
        <v>901</v>
      </c>
      <c r="B110" s="60" t="s">
        <v>51</v>
      </c>
      <c r="C110" s="66" t="n">
        <f aca="false">SUM(E110:P110)</f>
        <v>2358.195</v>
      </c>
      <c r="D110" s="66" t="n">
        <f aca="false">SUM(Q110:AB110)</f>
        <v>637.875</v>
      </c>
      <c r="E110" s="67" t="n">
        <f aca="false">Engagements!E18+Engagements!E19+Engagements!E40</f>
        <v>0</v>
      </c>
      <c r="F110" s="67" t="n">
        <f aca="false">Engagements!F18+Engagements!F19+Engagements!F40</f>
        <v>0</v>
      </c>
      <c r="G110" s="67" t="n">
        <f aca="false">Engagements!G18+Engagements!G19+Engagements!G40</f>
        <v>183.1</v>
      </c>
      <c r="H110" s="67" t="n">
        <f aca="false">Engagements!H18+Engagements!H19+Engagements!H40</f>
        <v>296.6</v>
      </c>
      <c r="I110" s="67" t="n">
        <f aca="false">Engagements!I18+Engagements!I19+Engagements!I40</f>
        <v>259</v>
      </c>
      <c r="J110" s="67" t="n">
        <f aca="false">Engagements!J18+Engagements!J19+Engagements!J40</f>
        <v>337.7</v>
      </c>
      <c r="K110" s="67" t="n">
        <f aca="false">Engagements!K18+Engagements!K19+Engagements!K40</f>
        <v>395</v>
      </c>
      <c r="L110" s="67" t="n">
        <f aca="false">Engagements!L18+Engagements!L19+Engagements!L40</f>
        <v>294.7</v>
      </c>
      <c r="M110" s="67" t="n">
        <f aca="false">Engagements!M18+Engagements!M19+Engagements!M40</f>
        <v>391.78524</v>
      </c>
      <c r="N110" s="67" t="n">
        <f aca="false">Engagements!N18+Engagements!N19+Engagements!N40</f>
        <v>200.30976</v>
      </c>
      <c r="O110" s="67" t="n">
        <f aca="false">Engagements!O18+Engagements!O19+Engagements!O40</f>
        <v>0</v>
      </c>
      <c r="P110" s="67" t="n">
        <f aca="false">Engagements!P18+Engagements!P19+Engagements!P40</f>
        <v>0</v>
      </c>
      <c r="Q110" s="67" t="n">
        <f aca="false">Engagements!Q18+Engagements!Q19+Engagements!Q40</f>
        <v>0</v>
      </c>
      <c r="R110" s="67" t="n">
        <f aca="false">Engagements!R18+Engagements!R19+Engagements!R40</f>
        <v>100.813577586207</v>
      </c>
      <c r="S110" s="67" t="n">
        <f aca="false">Engagements!S18+Engagements!S19+Engagements!S40</f>
        <v>108.145474137931</v>
      </c>
      <c r="T110" s="67" t="n">
        <f aca="false">Engagements!T18+Engagements!T19+Engagements!T40</f>
        <v>113.033405172414</v>
      </c>
      <c r="U110" s="67" t="n">
        <f aca="false">Engagements!U18+Engagements!U19+Engagements!U40</f>
        <v>86.1497844827586</v>
      </c>
      <c r="V110" s="67" t="n">
        <f aca="false">Engagements!V18+Engagements!V19+Engagements!V40</f>
        <v>116.699353448276</v>
      </c>
      <c r="W110" s="67" t="n">
        <f aca="false">Engagements!W18+Engagements!W19+Engagements!W40</f>
        <v>113.033405172414</v>
      </c>
      <c r="X110" s="67" t="n">
        <f aca="false">Engagements!X18+Engagements!X19+Engagements!X40</f>
        <v>0</v>
      </c>
      <c r="Y110" s="67" t="n">
        <f aca="false">Engagements!Y18+Engagements!Y19+Engagements!Y40</f>
        <v>0</v>
      </c>
      <c r="Z110" s="67" t="n">
        <f aca="false">Engagements!Z18+Engagements!Z19+Engagements!Z40</f>
        <v>0</v>
      </c>
      <c r="AA110" s="67" t="n">
        <f aca="false">Engagements!AA18+Engagements!AA19+Engagements!AA40</f>
        <v>0</v>
      </c>
      <c r="AB110" s="67" t="n">
        <f aca="false">Engagements!AB18+Engagements!AB19+Engagements!AB40</f>
        <v>0</v>
      </c>
    </row>
    <row r="111" customFormat="false" ht="15" hidden="false" customHeight="false" outlineLevel="0" collapsed="false">
      <c r="A111" s="29" t="s">
        <v>833</v>
      </c>
      <c r="B111" s="60" t="s">
        <v>51</v>
      </c>
      <c r="C111" s="61" t="n">
        <f aca="false">SUM(E111:P111)</f>
        <v>472655.631</v>
      </c>
      <c r="D111" s="61" t="n">
        <f aca="false">SUM(Q111:AB111)</f>
        <v>130488.813</v>
      </c>
      <c r="E111" s="62" t="n">
        <f aca="false">Engagements!E181+Engagements!E199+Engagements!E507</f>
        <v>0</v>
      </c>
      <c r="F111" s="62" t="n">
        <f aca="false">Engagements!F181+Engagements!F199+Engagements!F507</f>
        <v>0</v>
      </c>
      <c r="G111" s="62" t="n">
        <f aca="false">Engagements!G181+Engagements!G199+Engagements!G507</f>
        <v>36015.77</v>
      </c>
      <c r="H111" s="62" t="n">
        <f aca="false">Engagements!H181+Engagements!H199+Engagements!H507</f>
        <v>59664.85</v>
      </c>
      <c r="I111" s="62" t="n">
        <f aca="false">Engagements!I181+Engagements!I199+Engagements!I507</f>
        <v>52102.61</v>
      </c>
      <c r="J111" s="62" t="n">
        <f aca="false">Engagements!J181+Engagements!J199+Engagements!J507</f>
        <v>67864.06</v>
      </c>
      <c r="K111" s="62" t="n">
        <f aca="false">Engagements!K181+Engagements!K199+Engagements!K507</f>
        <v>79466.62</v>
      </c>
      <c r="L111" s="62" t="n">
        <f aca="false">Engagements!L181+Engagements!L199+Engagements!L507</f>
        <v>59256.47</v>
      </c>
      <c r="M111" s="62" t="n">
        <f aca="false">Engagements!M181+Engagements!M199+Engagements!M507</f>
        <v>78884.321208</v>
      </c>
      <c r="N111" s="62" t="n">
        <f aca="false">Engagements!N181+Engagements!N199+Engagements!N507</f>
        <v>39400.929792</v>
      </c>
      <c r="O111" s="62" t="n">
        <f aca="false">Engagements!O181+Engagements!O199+Engagements!O507</f>
        <v>0</v>
      </c>
      <c r="P111" s="62" t="n">
        <f aca="false">Engagements!P181+Engagements!P199+Engagements!P507</f>
        <v>0</v>
      </c>
      <c r="Q111" s="62" t="n">
        <f aca="false">Engagements!Q181+Engagements!Q199+Engagements!Q507</f>
        <v>0</v>
      </c>
      <c r="R111" s="62" t="n">
        <f aca="false">Engagements!R181+Engagements!R199+Engagements!R507</f>
        <v>20623.2319396552</v>
      </c>
      <c r="S111" s="62" t="n">
        <f aca="false">Engagements!S181+Engagements!S199+Engagements!S507</f>
        <v>22123.1033534483</v>
      </c>
      <c r="T111" s="62" t="n">
        <f aca="false">Engagements!T181+Engagements!T199+Engagements!T507</f>
        <v>23123.0176293103</v>
      </c>
      <c r="U111" s="62" t="n">
        <f aca="false">Engagements!U181+Engagements!U199+Engagements!U507</f>
        <v>17623.489112069</v>
      </c>
      <c r="V111" s="62" t="n">
        <f aca="false">Engagements!V181+Engagements!V199+Engagements!V507</f>
        <v>23872.9533362069</v>
      </c>
      <c r="W111" s="62" t="n">
        <f aca="false">Engagements!W181+Engagements!W199+Engagements!W507</f>
        <v>23123.0176293103</v>
      </c>
      <c r="X111" s="62" t="n">
        <f aca="false">Engagements!X181+Engagements!X199+Engagements!X507</f>
        <v>0</v>
      </c>
      <c r="Y111" s="62" t="n">
        <f aca="false">Engagements!Y181+Engagements!Y199+Engagements!Y507</f>
        <v>0</v>
      </c>
      <c r="Z111" s="62" t="n">
        <f aca="false">Engagements!Z181+Engagements!Z199+Engagements!Z507</f>
        <v>0</v>
      </c>
      <c r="AA111" s="62" t="n">
        <f aca="false">Engagements!AA181+Engagements!AA199+Engagements!AA507</f>
        <v>0</v>
      </c>
      <c r="AB111" s="62" t="n">
        <f aca="false">Engagements!AB181+Engagements!AB199+Engagements!AB507</f>
        <v>0</v>
      </c>
    </row>
    <row r="112" customFormat="false" ht="15" hidden="false" customHeight="false" outlineLevel="0" collapsed="false">
      <c r="A112" s="29" t="s">
        <v>716</v>
      </c>
      <c r="B112" s="60" t="s">
        <v>51</v>
      </c>
      <c r="C112" s="61" t="n">
        <f aca="false">SUM(E112:P112)</f>
        <v>436621.28</v>
      </c>
      <c r="D112" s="61" t="n">
        <f aca="false">SUM(Q112:AB112)</f>
        <v>117000</v>
      </c>
      <c r="E112" s="62" t="n">
        <f aca="false">Engagements!E186+Engagements!E204+Engagements!E512+Engagements!E190</f>
        <v>0</v>
      </c>
      <c r="F112" s="62" t="n">
        <f aca="false">Engagements!F186+Engagements!F204+Engagements!F512+Engagements!F190</f>
        <v>0</v>
      </c>
      <c r="G112" s="62" t="n">
        <f aca="false">Engagements!G186+Engagements!G204+Engagements!G512+Engagements!G190</f>
        <v>0</v>
      </c>
      <c r="H112" s="62" t="n">
        <f aca="false">Engagements!H186+Engagements!H204+Engagements!H512+Engagements!H190</f>
        <v>84664.42</v>
      </c>
      <c r="I112" s="62" t="n">
        <f aca="false">Engagements!I186+Engagements!I204+Engagements!I512+Engagements!I190</f>
        <v>31530.73</v>
      </c>
      <c r="J112" s="62" t="n">
        <f aca="false">Engagements!J186+Engagements!J204+Engagements!J512+Engagements!J190</f>
        <v>27257.02</v>
      </c>
      <c r="K112" s="62" t="n">
        <f aca="false">Engagements!K186+Engagements!K204+Engagements!K512+Engagements!K190</f>
        <v>103129.57</v>
      </c>
      <c r="L112" s="62" t="n">
        <f aca="false">Engagements!L186+Engagements!L204+Engagements!L512+Engagements!L190</f>
        <v>41725</v>
      </c>
      <c r="M112" s="62" t="n">
        <f aca="false">Engagements!M186+Engagements!M204+Engagements!M512+Engagements!M190</f>
        <v>81262.381</v>
      </c>
      <c r="N112" s="62" t="n">
        <f aca="false">Engagements!N186+Engagements!N204+Engagements!N512+Engagements!N190</f>
        <v>40109.32743552</v>
      </c>
      <c r="O112" s="62" t="n">
        <f aca="false">Engagements!O186+Engagements!O204+Engagements!O512+Engagements!O190</f>
        <v>26942.83156448</v>
      </c>
      <c r="P112" s="62" t="n">
        <f aca="false">Engagements!P186+Engagements!P204+Engagements!P512+Engagements!P190</f>
        <v>0</v>
      </c>
      <c r="Q112" s="62" t="n">
        <f aca="false">Engagements!Q186+Engagements!Q204+Engagements!Q512+Engagements!Q190</f>
        <v>0</v>
      </c>
      <c r="R112" s="62" t="n">
        <f aca="false">Engagements!R186+Engagements!R204+Engagements!R512+Engagements!R190</f>
        <v>35100</v>
      </c>
      <c r="S112" s="62" t="n">
        <f aca="false">Engagements!S186+Engagements!S204+Engagements!S512+Engagements!S190</f>
        <v>0</v>
      </c>
      <c r="T112" s="62" t="n">
        <f aca="false">Engagements!T186+Engagements!T204+Engagements!T512+Engagements!T190</f>
        <v>0</v>
      </c>
      <c r="U112" s="62" t="n">
        <f aca="false">Engagements!U186+Engagements!U204+Engagements!U512+Engagements!U190</f>
        <v>46800</v>
      </c>
      <c r="V112" s="62" t="n">
        <f aca="false">Engagements!V186+Engagements!V204+Engagements!V512+Engagements!V190</f>
        <v>0</v>
      </c>
      <c r="W112" s="62" t="n">
        <f aca="false">Engagements!W186+Engagements!W204+Engagements!W512+Engagements!W190</f>
        <v>35100</v>
      </c>
      <c r="X112" s="62" t="n">
        <f aca="false">Engagements!X186+Engagements!X204+Engagements!X512+Engagements!X190</f>
        <v>0</v>
      </c>
      <c r="Y112" s="62" t="n">
        <f aca="false">Engagements!Y186+Engagements!Y204+Engagements!Y512+Engagements!Y190</f>
        <v>0</v>
      </c>
      <c r="Z112" s="62" t="n">
        <f aca="false">Engagements!Z186+Engagements!Z204+Engagements!Z512+Engagements!Z190</f>
        <v>0</v>
      </c>
      <c r="AA112" s="62" t="n">
        <f aca="false">Engagements!AA186+Engagements!AA204+Engagements!AA512+Engagements!AA190</f>
        <v>0</v>
      </c>
      <c r="AB112" s="62" t="n">
        <f aca="false">Engagements!AB186+Engagements!AB204+Engagements!AB512+Engagements!AB190</f>
        <v>0</v>
      </c>
    </row>
    <row r="113" customFormat="false" ht="15" hidden="false" customHeight="false" outlineLevel="0" collapsed="false">
      <c r="A113" s="29" t="s">
        <v>949</v>
      </c>
      <c r="B113" s="60" t="s">
        <v>950</v>
      </c>
      <c r="C113" s="61" t="n">
        <f aca="false">SUM(E113:P113)</f>
        <v>82958.0432</v>
      </c>
      <c r="D113" s="61" t="n">
        <f aca="false">SUM(Q113:AB113)</f>
        <v>22230</v>
      </c>
      <c r="E113" s="62" t="n">
        <f aca="false">E112*Client_Register!$E$14</f>
        <v>0</v>
      </c>
      <c r="F113" s="62" t="n">
        <f aca="false">F112*Client_Register!$E$14</f>
        <v>0</v>
      </c>
      <c r="G113" s="62" t="n">
        <f aca="false">G112*Client_Register!$E$14</f>
        <v>0</v>
      </c>
      <c r="H113" s="62" t="n">
        <f aca="false">H112*Client_Register!$E$14</f>
        <v>16086.2398</v>
      </c>
      <c r="I113" s="62" t="n">
        <f aca="false">I112*Client_Register!$E$14</f>
        <v>5990.8387</v>
      </c>
      <c r="J113" s="62" t="n">
        <f aca="false">J112*Client_Register!$E$14</f>
        <v>5178.8338</v>
      </c>
      <c r="K113" s="62" t="n">
        <f aca="false">K112*Client_Register!$E$14</f>
        <v>19594.6183</v>
      </c>
      <c r="L113" s="62" t="n">
        <f aca="false">L112*Client_Register!$E$14</f>
        <v>7927.75</v>
      </c>
      <c r="M113" s="62" t="n">
        <f aca="false">M112*Client_Register!$E$14</f>
        <v>15439.85239</v>
      </c>
      <c r="N113" s="62" t="n">
        <f aca="false">N112*Client_Register!$E$14</f>
        <v>7620.7722127488</v>
      </c>
      <c r="O113" s="62" t="n">
        <f aca="false">O112*Client_Register!$E$14</f>
        <v>5119.13799725121</v>
      </c>
      <c r="P113" s="62" t="n">
        <f aca="false">P112*Client_Register!$E$14</f>
        <v>0</v>
      </c>
      <c r="Q113" s="62" t="n">
        <f aca="false">Q112*Client_Register!$E$14</f>
        <v>0</v>
      </c>
      <c r="R113" s="62" t="n">
        <f aca="false">R112*Client_Register!$E$14</f>
        <v>6669</v>
      </c>
      <c r="S113" s="62" t="n">
        <f aca="false">S112*Client_Register!$E$14</f>
        <v>0</v>
      </c>
      <c r="T113" s="62" t="n">
        <f aca="false">T112*Client_Register!$E$14</f>
        <v>0</v>
      </c>
      <c r="U113" s="62" t="n">
        <f aca="false">U112*Client_Register!$E$14</f>
        <v>8892</v>
      </c>
      <c r="V113" s="62" t="n">
        <f aca="false">V112*Client_Register!$E$14</f>
        <v>0</v>
      </c>
      <c r="W113" s="62" t="n">
        <f aca="false">W112*Client_Register!$E$14</f>
        <v>6669</v>
      </c>
      <c r="X113" s="62" t="n">
        <f aca="false">X112*Client_Register!$E$14</f>
        <v>0</v>
      </c>
      <c r="Y113" s="62" t="n">
        <f aca="false">Y112*Client_Register!$E$14</f>
        <v>0</v>
      </c>
      <c r="Z113" s="62" t="n">
        <f aca="false">Z112*Client_Register!$E$14</f>
        <v>0</v>
      </c>
      <c r="AA113" s="62" t="n">
        <f aca="false">AA112*Client_Register!$E$14</f>
        <v>0</v>
      </c>
      <c r="AB113" s="62" t="n">
        <f aca="false">AB112*Client_Register!$E$14</f>
        <v>0</v>
      </c>
    </row>
    <row r="114" customFormat="false" ht="15" hidden="false" customHeight="false" outlineLevel="0" collapsed="false">
      <c r="A114" s="68" t="s">
        <v>951</v>
      </c>
      <c r="B114" s="69"/>
      <c r="C114" s="70" t="n">
        <f aca="false">SUM(E114:P114)</f>
        <v>519579.3232</v>
      </c>
      <c r="D114" s="70" t="n">
        <f aca="false">SUM(Q114:AB114)</f>
        <v>139230</v>
      </c>
      <c r="E114" s="70" t="n">
        <f aca="false">E112+E113</f>
        <v>0</v>
      </c>
      <c r="F114" s="70" t="n">
        <f aca="false">F112+F113</f>
        <v>0</v>
      </c>
      <c r="G114" s="70" t="n">
        <f aca="false">G112+G113</f>
        <v>0</v>
      </c>
      <c r="H114" s="70" t="n">
        <f aca="false">H112+H113</f>
        <v>100750.6598</v>
      </c>
      <c r="I114" s="70" t="n">
        <f aca="false">I112+I113</f>
        <v>37521.5687</v>
      </c>
      <c r="J114" s="70" t="n">
        <f aca="false">J112+J113</f>
        <v>32435.8538</v>
      </c>
      <c r="K114" s="70" t="n">
        <f aca="false">K112+K113</f>
        <v>122724.1883</v>
      </c>
      <c r="L114" s="70" t="n">
        <f aca="false">L112+L113</f>
        <v>49652.75</v>
      </c>
      <c r="M114" s="70" t="n">
        <f aca="false">M112+M113</f>
        <v>96702.23339</v>
      </c>
      <c r="N114" s="70" t="n">
        <f aca="false">N112+N113</f>
        <v>47730.0996482688</v>
      </c>
      <c r="O114" s="70" t="n">
        <f aca="false">O112+O113</f>
        <v>32061.9695617312</v>
      </c>
      <c r="P114" s="70" t="n">
        <f aca="false">P112+P113</f>
        <v>0</v>
      </c>
      <c r="Q114" s="70" t="n">
        <f aca="false">Q112+Q113</f>
        <v>0</v>
      </c>
      <c r="R114" s="70" t="n">
        <f aca="false">R112+R113</f>
        <v>41769</v>
      </c>
      <c r="S114" s="70" t="n">
        <f aca="false">S112+S113</f>
        <v>0</v>
      </c>
      <c r="T114" s="70" t="n">
        <f aca="false">T112+T113</f>
        <v>0</v>
      </c>
      <c r="U114" s="70" t="n">
        <f aca="false">U112+U113</f>
        <v>55692</v>
      </c>
      <c r="V114" s="70" t="n">
        <f aca="false">V112+V113</f>
        <v>0</v>
      </c>
      <c r="W114" s="70" t="n">
        <f aca="false">W112+W113</f>
        <v>41769</v>
      </c>
      <c r="X114" s="70" t="n">
        <f aca="false">X112+X113</f>
        <v>0</v>
      </c>
      <c r="Y114" s="70" t="n">
        <f aca="false">Y112+Y113</f>
        <v>0</v>
      </c>
      <c r="Z114" s="70" t="n">
        <f aca="false">Z112+Z113</f>
        <v>0</v>
      </c>
      <c r="AA114" s="70" t="n">
        <f aca="false">AA112+AA113</f>
        <v>0</v>
      </c>
      <c r="AB114" s="70" t="n">
        <f aca="false">AB112+AB113</f>
        <v>0</v>
      </c>
    </row>
    <row r="115" customFormat="false" ht="15" hidden="false" customHeight="false" outlineLevel="0" collapsed="false">
      <c r="A115" s="29" t="s">
        <v>952</v>
      </c>
      <c r="B115" s="60" t="s">
        <v>953</v>
      </c>
      <c r="C115" s="61" t="n">
        <f aca="false">SUM(E115:P115)</f>
        <v>601739.988419135</v>
      </c>
      <c r="D115" s="61" t="n">
        <f aca="false">SUM(Q115:AB115)</f>
        <v>155260.984780866</v>
      </c>
      <c r="E115" s="62" t="n">
        <f aca="false">IF(E$5="A",Inputs_Actuals!E111,Client_Register!$J$14+E114-(E114*MIN(1,Client_Register!$I$14/30)+0*MIN(1,MAX(0,(Client_Register!$I$14-30)/30))+0*MIN(1,MAX(0,(Client_Register!$I$14-60)/30))))</f>
        <v>64094.13</v>
      </c>
      <c r="F115" s="62" t="n">
        <f aca="false">IF(F$5="A",Inputs_Actuals!F111,E116+F114-(F114*MIN(1,Client_Register!$I$14/30)+E114*MIN(1,MAX(0,(Client_Register!$I$14-30)/30))+0*MIN(1,MAX(0,(Client_Register!$I$14-60)/30))))</f>
        <v>34097.52</v>
      </c>
      <c r="G115" s="62" t="n">
        <f aca="false">IF(G$5="A",Inputs_Actuals!G111,F116+G114-(G114*MIN(1,Client_Register!$I$14/30)+F114*MIN(1,MAX(0,(Client_Register!$I$14-30)/30))+E114*MIN(1,MAX(0,(Client_Register!$I$14-60)/30))))</f>
        <v>0</v>
      </c>
      <c r="H115" s="62" t="n">
        <f aca="false">IF(H$5="A",Inputs_Actuals!H111,G116+H114-(H114*MIN(1,Client_Register!$I$14/30)+G114*MIN(1,MAX(0,(Client_Register!$I$14-30)/30))+F114*MIN(1,MAX(0,(Client_Register!$I$14-60)/30))))</f>
        <v>-5148.14</v>
      </c>
      <c r="I115" s="62" t="n">
        <f aca="false">IF(I$5="A",Inputs_Actuals!I111,H116+I114-(I114*MIN(1,Client_Register!$I$14/30)+H114*MIN(1,MAX(0,(Client_Register!$I$14-30)/30))+G114*MIN(1,MAX(0,(Client_Register!$I$14-60)/30))))</f>
        <v>50772.77</v>
      </c>
      <c r="J115" s="62" t="n">
        <f aca="false">IF(J$5="A",Inputs_Actuals!J111,I116+J114-(J114*MIN(1,Client_Register!$I$14/30)+I114*MIN(1,MAX(0,(Client_Register!$I$14-30)/30))+H114*MIN(1,MAX(0,(Client_Register!$I$14-60)/30))))</f>
        <v>70259</v>
      </c>
      <c r="K115" s="62" t="n">
        <f aca="false">IF(K$5="A",Inputs_Actuals!K111,J116+K114-(K114*MIN(1,Client_Register!$I$14/30)+J114*MIN(1,MAX(0,(Client_Register!$I$14-30)/30))+I114*MIN(1,MAX(0,(Client_Register!$I$14-60)/30))))</f>
        <v>25541.25</v>
      </c>
      <c r="L115" s="62" t="n">
        <f aca="false">IF(L$5="A",Inputs_Actuals!L111,K116+L114-(L114*MIN(1,Client_Register!$I$14/30)+K114*MIN(1,MAX(0,(Client_Register!$I$14-30)/30))+J114*MIN(1,MAX(0,(Client_Register!$I$14-60)/30))))</f>
        <v>89779.73</v>
      </c>
      <c r="M115" s="62" t="n">
        <f aca="false">IF(M$5="A",Inputs_Actuals!M111,L116+M114-(M114*MIN(1,Client_Register!$I$14/30)+L114*MIN(1,MAX(0,(Client_Register!$I$14-30)/30))+K114*MIN(1,MAX(0,(Client_Register!$I$14-60)/30))))</f>
        <v>87054.0356000001</v>
      </c>
      <c r="N115" s="62" t="n">
        <f aca="false">IF(N$5="A",Inputs_Actuals!N111,M116+N114-(N114*MIN(1,Client_Register!$I$14/30)+M114*MIN(1,MAX(0,(Client_Register!$I$14-30)/30))+L114*MIN(1,MAX(0,(Client_Register!$I$14-60)/30))))</f>
        <v>73177.491695</v>
      </c>
      <c r="O115" s="62" t="n">
        <f aca="false">IF(O$5="A",Inputs_Actuals!O111,N116+O114-(O114*MIN(1,Client_Register!$I$14/30)+N114*MIN(1,MAX(0,(Client_Register!$I$14-30)/30))+M114*MIN(1,MAX(0,(Client_Register!$I$14-60)/30))))</f>
        <v>72216.1665191344</v>
      </c>
      <c r="P115" s="62" t="n">
        <f aca="false">IF(P$5="A",Inputs_Actuals!P111,O116+P114-(P114*MIN(1,Client_Register!$I$14/30)+O114*MIN(1,MAX(0,(Client_Register!$I$14-30)/30))+N114*MIN(1,MAX(0,(Client_Register!$I$14-60)/30))))</f>
        <v>39896.034605</v>
      </c>
      <c r="Q115" s="62" t="n">
        <f aca="false">IF(Q$5="A",Inputs_Actuals!Q111,P116+Q114-(Q114*MIN(1,Client_Register!$I$14/30)+P114*MIN(1,MAX(0,(Client_Register!$I$14-30)/30))+O114*MIN(1,MAX(0,(Client_Register!$I$14-60)/30))))</f>
        <v>16030.9847808656</v>
      </c>
      <c r="R115" s="62" t="n">
        <f aca="false">IF(R$5="A",Inputs_Actuals!R111,Q116+R114-(R114*MIN(1,Client_Register!$I$14/30)+Q114*MIN(1,MAX(0,(Client_Register!$I$14-30)/30))+P114*MIN(1,MAX(0,(Client_Register!$I$14-60)/30))))</f>
        <v>0</v>
      </c>
      <c r="S115" s="62" t="n">
        <f aca="false">IF(S$5="A",Inputs_Actuals!S111,R116+S114-(S114*MIN(1,Client_Register!$I$14/30)+R114*MIN(1,MAX(0,(Client_Register!$I$14-30)/30))+Q114*MIN(1,MAX(0,(Client_Register!$I$14-60)/30))))</f>
        <v>20884.5</v>
      </c>
      <c r="T115" s="62" t="n">
        <f aca="false">IF(T$5="A",Inputs_Actuals!T111,S116+T114-(T114*MIN(1,Client_Register!$I$14/30)+S114*MIN(1,MAX(0,(Client_Register!$I$14-30)/30))+R114*MIN(1,MAX(0,(Client_Register!$I$14-60)/30))))</f>
        <v>20884.5</v>
      </c>
      <c r="U115" s="62" t="n">
        <f aca="false">IF(U$5="A",Inputs_Actuals!U111,T116+U114-(U114*MIN(1,Client_Register!$I$14/30)+T114*MIN(1,MAX(0,(Client_Register!$I$14-30)/30))+S114*MIN(1,MAX(0,(Client_Register!$I$14-60)/30))))</f>
        <v>0</v>
      </c>
      <c r="V115" s="62" t="n">
        <f aca="false">IF(V$5="A",Inputs_Actuals!V111,U116+V114-(V114*MIN(1,Client_Register!$I$14/30)+U114*MIN(1,MAX(0,(Client_Register!$I$14-30)/30))+T114*MIN(1,MAX(0,(Client_Register!$I$14-60)/30))))</f>
        <v>27846</v>
      </c>
      <c r="W115" s="62" t="n">
        <f aca="false">IF(W$5="A",Inputs_Actuals!W111,V116+W114-(W114*MIN(1,Client_Register!$I$14/30)+V114*MIN(1,MAX(0,(Client_Register!$I$14-30)/30))+U114*MIN(1,MAX(0,(Client_Register!$I$14-60)/30))))</f>
        <v>27846</v>
      </c>
      <c r="X115" s="62" t="n">
        <f aca="false">IF(X$5="A",Inputs_Actuals!X111,W116+X114-(X114*MIN(1,Client_Register!$I$14/30)+W114*MIN(1,MAX(0,(Client_Register!$I$14-30)/30))+V114*MIN(1,MAX(0,(Client_Register!$I$14-60)/30))))</f>
        <v>20884.5</v>
      </c>
      <c r="Y115" s="62" t="n">
        <f aca="false">IF(Y$5="A",Inputs_Actuals!Y111,X116+Y114-(Y114*MIN(1,Client_Register!$I$14/30)+X114*MIN(1,MAX(0,(Client_Register!$I$14-30)/30))+W114*MIN(1,MAX(0,(Client_Register!$I$14-60)/30))))</f>
        <v>20884.5</v>
      </c>
      <c r="Z115" s="62" t="n">
        <f aca="false">IF(Z$5="A",Inputs_Actuals!Z111,Y116+Z114-(Z114*MIN(1,Client_Register!$I$14/30)+Y114*MIN(1,MAX(0,(Client_Register!$I$14-30)/30))+X114*MIN(1,MAX(0,(Client_Register!$I$14-60)/30))))</f>
        <v>0</v>
      </c>
      <c r="AA115" s="62" t="n">
        <f aca="false">IF(AA$5="A",Inputs_Actuals!AA111,Z116+AA114-(AA114*MIN(1,Client_Register!$I$14/30)+Z114*MIN(1,MAX(0,(Client_Register!$I$14-30)/30))+Y114*MIN(1,MAX(0,(Client_Register!$I$14-60)/30))))</f>
        <v>0</v>
      </c>
      <c r="AB115" s="62" t="n">
        <f aca="false">IF(AB$5="A",Inputs_Actuals!AB111,AA116+AB114-(AB114*MIN(1,Client_Register!$I$14/30)+AA114*MIN(1,MAX(0,(Client_Register!$I$14-30)/30))+Z114*MIN(1,MAX(0,(Client_Register!$I$14-60)/30))))</f>
        <v>0</v>
      </c>
    </row>
    <row r="116" customFormat="false" ht="15" hidden="false" customHeight="false" outlineLevel="0" collapsed="false">
      <c r="A116" s="68" t="s">
        <v>954</v>
      </c>
      <c r="B116" s="69" t="s">
        <v>955</v>
      </c>
      <c r="C116" s="70" t="n">
        <f aca="false">P116</f>
        <v>16030.9847808656</v>
      </c>
      <c r="D116" s="70" t="n">
        <f aca="false">AB116</f>
        <v>0</v>
      </c>
      <c r="E116" s="74" t="n">
        <f aca="false">Client_Register!$J$14+E114-E115</f>
        <v>34097.52</v>
      </c>
      <c r="F116" s="70" t="n">
        <f aca="false">E116+F114-F115</f>
        <v>0</v>
      </c>
      <c r="G116" s="70" t="n">
        <f aca="false">F116+G114-G115</f>
        <v>0</v>
      </c>
      <c r="H116" s="70" t="n">
        <f aca="false">G116+H114-H115</f>
        <v>105898.7998</v>
      </c>
      <c r="I116" s="70" t="n">
        <f aca="false">H116+I114-I115</f>
        <v>92647.5985000001</v>
      </c>
      <c r="J116" s="70" t="n">
        <f aca="false">I116+J114-J115</f>
        <v>54824.4523000001</v>
      </c>
      <c r="K116" s="70" t="n">
        <f aca="false">J116+K114-K115</f>
        <v>152007.3906</v>
      </c>
      <c r="L116" s="70" t="n">
        <f aca="false">K116+L114-L115</f>
        <v>111880.4106</v>
      </c>
      <c r="M116" s="70" t="n">
        <f aca="false">L116+M114-M115</f>
        <v>121528.60839</v>
      </c>
      <c r="N116" s="70" t="n">
        <f aca="false">M116+N114-N115</f>
        <v>96081.2163432688</v>
      </c>
      <c r="O116" s="70" t="n">
        <f aca="false">N116+O114-O115</f>
        <v>55927.0193858656</v>
      </c>
      <c r="P116" s="70" t="n">
        <f aca="false">O116+P114-P115</f>
        <v>16030.9847808656</v>
      </c>
      <c r="Q116" s="70" t="n">
        <f aca="false">P116+Q114-Q115</f>
        <v>0</v>
      </c>
      <c r="R116" s="70" t="n">
        <f aca="false">Q116+R114-R115</f>
        <v>41769</v>
      </c>
      <c r="S116" s="70" t="n">
        <f aca="false">R116+S114-S115</f>
        <v>20884.5</v>
      </c>
      <c r="T116" s="70" t="n">
        <f aca="false">S116+T114-T115</f>
        <v>0</v>
      </c>
      <c r="U116" s="70" t="n">
        <f aca="false">T116+U114-U115</f>
        <v>55692</v>
      </c>
      <c r="V116" s="70" t="n">
        <f aca="false">U116+V114-V115</f>
        <v>27846</v>
      </c>
      <c r="W116" s="70" t="n">
        <f aca="false">V116+W114-W115</f>
        <v>41769</v>
      </c>
      <c r="X116" s="70" t="n">
        <f aca="false">W116+X114-X115</f>
        <v>20884.5</v>
      </c>
      <c r="Y116" s="70" t="n">
        <f aca="false">X116+Y114-Y115</f>
        <v>0</v>
      </c>
      <c r="Z116" s="70" t="n">
        <f aca="false">Y116+Z114-Z115</f>
        <v>0</v>
      </c>
      <c r="AA116" s="70" t="n">
        <f aca="false">Z116+AA114-AA115</f>
        <v>0</v>
      </c>
      <c r="AB116" s="70" t="n">
        <f aca="false">AA116+AB114-AB115</f>
        <v>0</v>
      </c>
    </row>
    <row r="117" customFormat="false" ht="15" hidden="false" customHeight="false" outlineLevel="0" collapsed="false">
      <c r="A117" s="29" t="s">
        <v>956</v>
      </c>
      <c r="B117" s="60"/>
      <c r="C117" s="66" t="n">
        <f aca="false">P117</f>
        <v>18.4836740598626</v>
      </c>
      <c r="D117" s="66" t="n">
        <f aca="false">AB117</f>
        <v>0</v>
      </c>
      <c r="E117" s="67" t="n">
        <f aca="false">IFERROR(E116/SUM(E114:E114)*SUM(Assumptions!E$191:E$191),0)</f>
        <v>0</v>
      </c>
      <c r="F117" s="67" t="n">
        <f aca="false">IFERROR(F116/SUM(E114:F114)*SUM(Assumptions!E$191:F$191),0)</f>
        <v>0</v>
      </c>
      <c r="G117" s="67" t="n">
        <f aca="false">IFERROR(G116/SUM(E114:G114)*SUM(Assumptions!E$191:G$191),0)</f>
        <v>0</v>
      </c>
      <c r="H117" s="67" t="n">
        <f aca="false">IFERROR(H116/SUM(F114:H114)*SUM(Assumptions!F$191:H$191),0)</f>
        <v>93.547706793281</v>
      </c>
      <c r="I117" s="67" t="n">
        <f aca="false">IFERROR(I116/SUM(G114:I114)*SUM(Assumptions!G$191:I$191),0)</f>
        <v>61.6434634377792</v>
      </c>
      <c r="J117" s="67" t="n">
        <f aca="false">IFERROR(J116/SUM(H114:J114)*SUM(Assumptions!H$191:J$191),0)</f>
        <v>29.2254771542238</v>
      </c>
      <c r="K117" s="67" t="n">
        <f aca="false">IFERROR(K116/SUM(I114:K114)*SUM(Assumptions!I$191:K$191),0)</f>
        <v>72.5792143689096</v>
      </c>
      <c r="L117" s="67" t="n">
        <f aca="false">IFERROR(L116/SUM(J114:L114)*SUM(Assumptions!J$191:L$191),0)</f>
        <v>50.2556391603433</v>
      </c>
      <c r="M117" s="67" t="n">
        <f aca="false">IFERROR(M116/SUM(K114:M114)*SUM(Assumptions!K$191:M$191),0)</f>
        <v>41.5514582628527</v>
      </c>
      <c r="N117" s="67" t="n">
        <f aca="false">IFERROR(N116/SUM(L114:N114)*SUM(Assumptions!L$191:N$191),0)</f>
        <v>45.544313685549</v>
      </c>
      <c r="O117" s="67" t="n">
        <f aca="false">IFERROR(O116/SUM(M114:O114)*SUM(Assumptions!M$191:O$191),0)</f>
        <v>28.8358246648228</v>
      </c>
      <c r="P117" s="67" t="n">
        <f aca="false">IFERROR(P116/SUM(N114:P114)*SUM(Assumptions!N$191:P$191),0)</f>
        <v>18.4836740598626</v>
      </c>
      <c r="Q117" s="67" t="n">
        <f aca="false">IFERROR(Q116/SUM(O114:Q114)*SUM(Assumptions!O$191:Q$191),0)</f>
        <v>0</v>
      </c>
      <c r="R117" s="67" t="n">
        <f aca="false">IFERROR(R116/SUM(P114:R114)*SUM(Assumptions!P$191:R$191),0)</f>
        <v>90</v>
      </c>
      <c r="S117" s="67" t="n">
        <f aca="false">IFERROR(S116/SUM(Q114:S114)*SUM(Assumptions!Q$191:S$191),0)</f>
        <v>45</v>
      </c>
      <c r="T117" s="67" t="n">
        <f aca="false">IFERROR(T116/SUM(R114:T114)*SUM(Assumptions!R$191:T$191),0)</f>
        <v>0</v>
      </c>
      <c r="U117" s="67" t="n">
        <f aca="false">IFERROR(U116/SUM(S114:U114)*SUM(Assumptions!S$191:U$191),0)</f>
        <v>92</v>
      </c>
      <c r="V117" s="67" t="n">
        <f aca="false">IFERROR(V116/SUM(T114:V114)*SUM(Assumptions!T$191:V$191),0)</f>
        <v>45.5</v>
      </c>
      <c r="W117" s="67" t="n">
        <f aca="false">IFERROR(W116/SUM(U114:W114)*SUM(Assumptions!U$191:W$191),0)</f>
        <v>39.4285714285714</v>
      </c>
      <c r="X117" s="67" t="n">
        <f aca="false">IFERROR(X116/SUM(V114:X114)*SUM(Assumptions!V$191:X$191),0)</f>
        <v>46</v>
      </c>
      <c r="Y117" s="67" t="n">
        <f aca="false">IFERROR(Y116/SUM(W114:Y114)*SUM(Assumptions!W$191:Y$191),0)</f>
        <v>0</v>
      </c>
      <c r="Z117" s="67" t="n">
        <f aca="false">IFERROR(Z116/SUM(X114:Z114)*SUM(Assumptions!X$191:Z$191),0)</f>
        <v>0</v>
      </c>
      <c r="AA117" s="67" t="n">
        <f aca="false">IFERROR(AA116/SUM(Y114:AA114)*SUM(Assumptions!Y$191:AA$191),0)</f>
        <v>0</v>
      </c>
      <c r="AB117" s="67" t="n">
        <f aca="false">IFERROR(AB116/SUM(Z114:AB114)*SUM(Assumptions!Z$191:AB$191),0)</f>
        <v>0</v>
      </c>
    </row>
    <row r="118" customFormat="false" ht="15" hidden="false" customHeight="false" outlineLevel="0" collapsed="false">
      <c r="A118" s="29" t="s">
        <v>957</v>
      </c>
      <c r="B118" s="60" t="s">
        <v>51</v>
      </c>
      <c r="C118" s="61" t="n">
        <f aca="false">P118</f>
        <v>0</v>
      </c>
      <c r="D118" s="61" t="n">
        <f aca="false">AB118</f>
        <v>0</v>
      </c>
      <c r="E118" s="62" t="n">
        <f aca="false">Engagements!E191+Engagements!E207+Engagements!E515</f>
        <v>0</v>
      </c>
      <c r="F118" s="62" t="n">
        <f aca="false">Engagements!F191+Engagements!F207+Engagements!F515</f>
        <v>0</v>
      </c>
      <c r="G118" s="62" t="n">
        <f aca="false">Engagements!G191+Engagements!G207+Engagements!G515</f>
        <v>35164.42</v>
      </c>
      <c r="H118" s="62" t="n">
        <f aca="false">Engagements!H191+Engagements!H207+Engagements!H515</f>
        <v>8293.23</v>
      </c>
      <c r="I118" s="62" t="n">
        <f aca="false">Engagements!I191+Engagements!I207+Engagements!I515</f>
        <v>26982.02</v>
      </c>
      <c r="J118" s="62" t="n">
        <f aca="false">Engagements!J191+Engagements!J207+Engagements!J515</f>
        <v>61593.24</v>
      </c>
      <c r="K118" s="62" t="n">
        <f aca="false">Engagements!K191+Engagements!K207+Engagements!K515</f>
        <v>28970.8</v>
      </c>
      <c r="L118" s="62" t="n">
        <f aca="false">Engagements!L191+Engagements!L207+Engagements!L515</f>
        <v>42501.51</v>
      </c>
      <c r="M118" s="62" t="n">
        <f aca="false">Engagements!M191+Engagements!M207+Engagements!M515</f>
        <v>30007.2418956097</v>
      </c>
      <c r="N118" s="62" t="n">
        <f aca="false">Engagements!N191+Engagements!N207+Engagements!N515</f>
        <v>26942.83156448</v>
      </c>
      <c r="O118" s="62" t="n">
        <f aca="false">Engagements!O191+Engagements!O207+Engagements!O515</f>
        <v>0</v>
      </c>
      <c r="P118" s="62" t="n">
        <f aca="false">Engagements!P191+Engagements!P207+Engagements!P515</f>
        <v>0</v>
      </c>
      <c r="Q118" s="62" t="n">
        <f aca="false">Engagements!Q191+Engagements!Q207+Engagements!Q515</f>
        <v>0</v>
      </c>
      <c r="R118" s="62" t="n">
        <f aca="false">Engagements!R191+Engagements!R207+Engagements!R515</f>
        <v>-16608.6206896552</v>
      </c>
      <c r="S118" s="62" t="n">
        <f aca="false">Engagements!S191+Engagements!S207+Engagements!S515</f>
        <v>3227.58620689655</v>
      </c>
      <c r="T118" s="62" t="n">
        <f aca="false">Engagements!T191+Engagements!T207+Engagements!T515</f>
        <v>23960.3448275862</v>
      </c>
      <c r="U118" s="62" t="n">
        <f aca="false">Engagements!U191+Engagements!U207+Engagements!U515</f>
        <v>-7037.93103448277</v>
      </c>
      <c r="V118" s="62" t="n">
        <f aca="false">Engagements!V191+Engagements!V207+Engagements!V515</f>
        <v>14367.2413793103</v>
      </c>
      <c r="W118" s="62" t="n">
        <f aca="false">Engagements!W191+Engagements!W207+Engagements!W515</f>
        <v>0</v>
      </c>
      <c r="X118" s="62" t="n">
        <f aca="false">Engagements!X191+Engagements!X207+Engagements!X515</f>
        <v>0</v>
      </c>
      <c r="Y118" s="62" t="n">
        <f aca="false">Engagements!Y191+Engagements!Y207+Engagements!Y515</f>
        <v>0</v>
      </c>
      <c r="Z118" s="62" t="n">
        <f aca="false">Engagements!Z191+Engagements!Z207+Engagements!Z515</f>
        <v>0</v>
      </c>
      <c r="AA118" s="62" t="n">
        <f aca="false">Engagements!AA191+Engagements!AA207+Engagements!AA515</f>
        <v>0</v>
      </c>
      <c r="AB118" s="62" t="n">
        <f aca="false">Engagements!AB191+Engagements!AB207+Engagements!AB515</f>
        <v>0</v>
      </c>
    </row>
    <row r="120" customFormat="false" ht="15" hidden="false" customHeight="false" outlineLevel="0" collapsed="false">
      <c r="A120" s="23" t="s">
        <v>965</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row>
    <row r="121" customFormat="false" ht="15" hidden="false" customHeight="false" outlineLevel="0" collapsed="false">
      <c r="A121" s="29" t="s">
        <v>679</v>
      </c>
      <c r="B121" s="60" t="s">
        <v>51</v>
      </c>
      <c r="C121" s="61" t="n">
        <f aca="false">SUM(E121:P121)</f>
        <v>649647.049821366</v>
      </c>
      <c r="D121" s="61" t="n">
        <f aca="false">SUM(Q121:AB121)</f>
        <v>176567.89075218</v>
      </c>
      <c r="E121" s="62" t="n">
        <f aca="false">Engagements!E294+Engagements!E324+Engagements!E454</f>
        <v>65007.64</v>
      </c>
      <c r="F121" s="62" t="n">
        <f aca="false">Engagements!F294+Engagements!F324+Engagements!F454</f>
        <v>63221.56</v>
      </c>
      <c r="G121" s="62" t="n">
        <f aca="false">Engagements!G294+Engagements!G324+Engagements!G454</f>
        <v>75138.31</v>
      </c>
      <c r="H121" s="62" t="n">
        <f aca="false">Engagements!H294+Engagements!H324+Engagements!H454</f>
        <v>60479.27</v>
      </c>
      <c r="I121" s="62" t="n">
        <f aca="false">Engagements!I294+Engagements!I324+Engagements!I454</f>
        <v>55924.92</v>
      </c>
      <c r="J121" s="62" t="n">
        <f aca="false">Engagements!J294+Engagements!J324+Engagements!J454</f>
        <v>73288.04</v>
      </c>
      <c r="K121" s="62" t="n">
        <f aca="false">Engagements!K294+Engagements!K324+Engagements!K454</f>
        <v>0</v>
      </c>
      <c r="L121" s="62" t="n">
        <f aca="false">Engagements!L294+Engagements!L324+Engagements!L454</f>
        <v>0</v>
      </c>
      <c r="M121" s="62" t="n">
        <f aca="false">Engagements!M294+Engagements!M324+Engagements!M454</f>
        <v>65871.2045374743</v>
      </c>
      <c r="N121" s="62" t="n">
        <f aca="false">Engagements!N294+Engagements!N324+Engagements!N454</f>
        <v>63457.0766224883</v>
      </c>
      <c r="O121" s="62" t="n">
        <f aca="false">Engagements!O294+Engagements!O324+Engagements!O454</f>
        <v>62767.3257896352</v>
      </c>
      <c r="P121" s="62" t="n">
        <f aca="false">Engagements!P294+Engagements!P324+Engagements!P454</f>
        <v>64491.702871768</v>
      </c>
      <c r="Q121" s="62" t="n">
        <f aca="false">Engagements!Q294+Engagements!Q324+Engagements!Q454</f>
        <v>57387.2692933807</v>
      </c>
      <c r="R121" s="62" t="n">
        <f aca="false">Engagements!R294+Engagements!R324+Engagements!R454</f>
        <v>74000.980740236</v>
      </c>
      <c r="S121" s="62" t="n">
        <f aca="false">Engagements!S294+Engagements!S324+Engagements!S454</f>
        <v>15898.2035928144</v>
      </c>
      <c r="T121" s="62" t="n">
        <f aca="false">Engagements!T294+Engagements!T324+Engagements!T454</f>
        <v>16616.7664670659</v>
      </c>
      <c r="U121" s="62" t="n">
        <f aca="false">Engagements!U294+Engagements!U324+Engagements!U454</f>
        <v>12664.6706586826</v>
      </c>
      <c r="V121" s="62" t="n">
        <f aca="false">Engagements!V294+Engagements!V324+Engagements!V454</f>
        <v>0</v>
      </c>
      <c r="W121" s="62" t="n">
        <f aca="false">Engagements!W294+Engagements!W324+Engagements!W454</f>
        <v>0</v>
      </c>
      <c r="X121" s="62" t="n">
        <f aca="false">Engagements!X294+Engagements!X324+Engagements!X454</f>
        <v>0</v>
      </c>
      <c r="Y121" s="62" t="n">
        <f aca="false">Engagements!Y294+Engagements!Y324+Engagements!Y454</f>
        <v>0</v>
      </c>
      <c r="Z121" s="62" t="n">
        <f aca="false">Engagements!Z294+Engagements!Z324+Engagements!Z454</f>
        <v>0</v>
      </c>
      <c r="AA121" s="62" t="n">
        <f aca="false">Engagements!AA294+Engagements!AA324+Engagements!AA454</f>
        <v>0</v>
      </c>
      <c r="AB121" s="62" t="n">
        <f aca="false">Engagements!AB294+Engagements!AB324+Engagements!AB454</f>
        <v>0</v>
      </c>
    </row>
    <row r="122" customFormat="false" ht="15" hidden="false" customHeight="false" outlineLevel="0" collapsed="false">
      <c r="A122" s="29" t="s">
        <v>498</v>
      </c>
      <c r="B122" s="60" t="s">
        <v>51</v>
      </c>
      <c r="C122" s="61" t="n">
        <f aca="false">SUM(E122:P122)</f>
        <v>40721.8436950421</v>
      </c>
      <c r="D122" s="61" t="n">
        <f aca="false">SUM(Q122:AB122)</f>
        <v>6503.98269410664</v>
      </c>
      <c r="E122" s="62" t="n">
        <f aca="false">Engagements!E298+Engagements!E328</f>
        <v>4394.13</v>
      </c>
      <c r="F122" s="62" t="n">
        <f aca="false">Engagements!F298+Engagements!F328</f>
        <v>4403.39</v>
      </c>
      <c r="G122" s="62" t="n">
        <f aca="false">Engagements!G298+Engagements!G328</f>
        <v>5031.14</v>
      </c>
      <c r="H122" s="62" t="n">
        <f aca="false">Engagements!H298+Engagements!H328</f>
        <v>3602.11</v>
      </c>
      <c r="I122" s="62" t="n">
        <f aca="false">Engagements!I298+Engagements!I328</f>
        <v>3669.61</v>
      </c>
      <c r="J122" s="62" t="n">
        <f aca="false">Engagements!J298+Engagements!J328</f>
        <v>5166.01</v>
      </c>
      <c r="K122" s="62" t="n">
        <f aca="false">Engagements!K298+Engagements!K328</f>
        <v>0</v>
      </c>
      <c r="L122" s="62" t="n">
        <f aca="false">Engagements!L298+Engagements!L328</f>
        <v>0</v>
      </c>
      <c r="M122" s="62" t="n">
        <f aca="false">Engagements!M298+Engagements!M328</f>
        <v>3711.01028999065</v>
      </c>
      <c r="N122" s="62" t="n">
        <f aca="false">Engagements!N298+Engagements!N328</f>
        <v>3575.00467726848</v>
      </c>
      <c r="O122" s="62" t="n">
        <f aca="false">Engagements!O298+Engagements!O328</f>
        <v>3536.14593077643</v>
      </c>
      <c r="P122" s="62" t="n">
        <f aca="false">Engagements!P298+Engagements!P328</f>
        <v>3633.29279700655</v>
      </c>
      <c r="Q122" s="62" t="n">
        <f aca="false">Engagements!Q298+Engagements!Q328</f>
        <v>3201.96071094481</v>
      </c>
      <c r="R122" s="62" t="n">
        <f aca="false">Engagements!R298+Engagements!R328</f>
        <v>3302.02198316183</v>
      </c>
      <c r="S122" s="62" t="n">
        <f aca="false">Engagements!S298+Engagements!S328</f>
        <v>0</v>
      </c>
      <c r="T122" s="62" t="n">
        <f aca="false">Engagements!T298+Engagements!T328</f>
        <v>0</v>
      </c>
      <c r="U122" s="62" t="n">
        <f aca="false">Engagements!U298+Engagements!U328</f>
        <v>0</v>
      </c>
      <c r="V122" s="62" t="n">
        <f aca="false">Engagements!V298+Engagements!V328</f>
        <v>0</v>
      </c>
      <c r="W122" s="62" t="n">
        <f aca="false">Engagements!W298+Engagements!W328</f>
        <v>0</v>
      </c>
      <c r="X122" s="62" t="n">
        <f aca="false">Engagements!X298+Engagements!X328</f>
        <v>0</v>
      </c>
      <c r="Y122" s="62" t="n">
        <f aca="false">Engagements!Y298+Engagements!Y328</f>
        <v>0</v>
      </c>
      <c r="Z122" s="62" t="n">
        <f aca="false">Engagements!Z298+Engagements!Z328</f>
        <v>0</v>
      </c>
      <c r="AA122" s="62" t="n">
        <f aca="false">Engagements!AA298+Engagements!AA328</f>
        <v>0</v>
      </c>
      <c r="AB122" s="62" t="n">
        <f aca="false">Engagements!AB298+Engagements!AB328</f>
        <v>0</v>
      </c>
    </row>
    <row r="123" customFormat="false" ht="15" hidden="false" customHeight="false" outlineLevel="0" collapsed="false">
      <c r="A123" s="68" t="s">
        <v>351</v>
      </c>
      <c r="B123" s="69"/>
      <c r="C123" s="70" t="n">
        <f aca="false">SUM(E123:P123)</f>
        <v>690368.893516408</v>
      </c>
      <c r="D123" s="70" t="n">
        <f aca="false">SUM(Q123:AB123)</f>
        <v>183071.873446286</v>
      </c>
      <c r="E123" s="70" t="n">
        <f aca="false">E121+E122</f>
        <v>69401.77</v>
      </c>
      <c r="F123" s="70" t="n">
        <f aca="false">F121+F122</f>
        <v>67624.95</v>
      </c>
      <c r="G123" s="70" t="n">
        <f aca="false">G121+G122</f>
        <v>80169.45</v>
      </c>
      <c r="H123" s="70" t="n">
        <f aca="false">H121+H122</f>
        <v>64081.38</v>
      </c>
      <c r="I123" s="70" t="n">
        <f aca="false">I121+I122</f>
        <v>59594.53</v>
      </c>
      <c r="J123" s="70" t="n">
        <f aca="false">J121+J122</f>
        <v>78454.05</v>
      </c>
      <c r="K123" s="70" t="n">
        <f aca="false">K121+K122</f>
        <v>0</v>
      </c>
      <c r="L123" s="70" t="n">
        <f aca="false">L121+L122</f>
        <v>0</v>
      </c>
      <c r="M123" s="70" t="n">
        <f aca="false">M121+M122</f>
        <v>69582.2148274649</v>
      </c>
      <c r="N123" s="70" t="n">
        <f aca="false">N121+N122</f>
        <v>67032.0812997568</v>
      </c>
      <c r="O123" s="70" t="n">
        <f aca="false">O121+O122</f>
        <v>66303.4717204116</v>
      </c>
      <c r="P123" s="70" t="n">
        <f aca="false">P121+P122</f>
        <v>68124.9956687746</v>
      </c>
      <c r="Q123" s="70" t="n">
        <f aca="false">Q121+Q122</f>
        <v>60589.2300043255</v>
      </c>
      <c r="R123" s="70" t="n">
        <f aca="false">R121+R122</f>
        <v>77303.0027233978</v>
      </c>
      <c r="S123" s="70" t="n">
        <f aca="false">S121+S122</f>
        <v>15898.2035928144</v>
      </c>
      <c r="T123" s="70" t="n">
        <f aca="false">T121+T122</f>
        <v>16616.7664670659</v>
      </c>
      <c r="U123" s="70" t="n">
        <f aca="false">U121+U122</f>
        <v>12664.6706586826</v>
      </c>
      <c r="V123" s="70" t="n">
        <f aca="false">V121+V122</f>
        <v>0</v>
      </c>
      <c r="W123" s="70" t="n">
        <f aca="false">W121+W122</f>
        <v>0</v>
      </c>
      <c r="X123" s="70" t="n">
        <f aca="false">X121+X122</f>
        <v>0</v>
      </c>
      <c r="Y123" s="70" t="n">
        <f aca="false">Y121+Y122</f>
        <v>0</v>
      </c>
      <c r="Z123" s="70" t="n">
        <f aca="false">Z121+Z122</f>
        <v>0</v>
      </c>
      <c r="AA123" s="70" t="n">
        <f aca="false">AA121+AA122</f>
        <v>0</v>
      </c>
      <c r="AB123" s="70" t="n">
        <f aca="false">AB121+AB122</f>
        <v>0</v>
      </c>
    </row>
    <row r="124" customFormat="false" ht="15" hidden="false" customHeight="false" outlineLevel="0" collapsed="false">
      <c r="A124" s="29" t="s">
        <v>901</v>
      </c>
      <c r="B124" s="60" t="s">
        <v>51</v>
      </c>
      <c r="C124" s="66" t="n">
        <f aca="false">SUM(E124:P124)</f>
        <v>3628.74536950421</v>
      </c>
      <c r="D124" s="66" t="n">
        <f aca="false">SUM(Q124:AB124)</f>
        <v>942.254630495791</v>
      </c>
      <c r="E124" s="67" t="n">
        <f aca="false">Engagements!E25+Engagements!E27+Engagements!E36</f>
        <v>356.3</v>
      </c>
      <c r="F124" s="67" t="n">
        <f aca="false">Engagements!F25+Engagements!F27+Engagements!F36</f>
        <v>357.4</v>
      </c>
      <c r="G124" s="67" t="n">
        <f aca="false">Engagements!G25+Engagements!G27+Engagements!G36</f>
        <v>419.2</v>
      </c>
      <c r="H124" s="67" t="n">
        <f aca="false">Engagements!H25+Engagements!H27+Engagements!H36</f>
        <v>332.9</v>
      </c>
      <c r="I124" s="67" t="n">
        <f aca="false">Engagements!I25+Engagements!I27+Engagements!I36</f>
        <v>307.5</v>
      </c>
      <c r="J124" s="67" t="n">
        <f aca="false">Engagements!J25+Engagements!J27+Engagements!J36</f>
        <v>409.9</v>
      </c>
      <c r="K124" s="67" t="n">
        <f aca="false">Engagements!K25+Engagements!K27+Engagements!K36</f>
        <v>0</v>
      </c>
      <c r="L124" s="67" t="n">
        <f aca="false">Engagements!L25+Engagements!L27+Engagements!L36</f>
        <v>0</v>
      </c>
      <c r="M124" s="67" t="n">
        <f aca="false">Engagements!M25+Engagements!M27+Engagements!M36</f>
        <v>371.101028999065</v>
      </c>
      <c r="N124" s="67" t="n">
        <f aca="false">Engagements!N25+Engagements!N27+Engagements!N36</f>
        <v>357.500467726848</v>
      </c>
      <c r="O124" s="67" t="n">
        <f aca="false">Engagements!O25+Engagements!O27+Engagements!O36</f>
        <v>353.614593077643</v>
      </c>
      <c r="P124" s="67" t="n">
        <f aca="false">Engagements!P25+Engagements!P27+Engagements!P36</f>
        <v>363.329279700655</v>
      </c>
      <c r="Q124" s="67" t="n">
        <f aca="false">Engagements!Q25+Engagements!Q27+Engagements!Q36</f>
        <v>310.869971936389</v>
      </c>
      <c r="R124" s="67" t="n">
        <f aca="false">Engagements!R25+Engagements!R27+Engagements!R36</f>
        <v>397.354119637246</v>
      </c>
      <c r="S124" s="67" t="n">
        <f aca="false">Engagements!S25+Engagements!S27+Engagements!S36</f>
        <v>82.3526946107784</v>
      </c>
      <c r="T124" s="67" t="n">
        <f aca="false">Engagements!T25+Engagements!T27+Engagements!T36</f>
        <v>86.0748502994012</v>
      </c>
      <c r="U124" s="67" t="n">
        <f aca="false">Engagements!U25+Engagements!U27+Engagements!U36</f>
        <v>65.6029940119761</v>
      </c>
      <c r="V124" s="67" t="n">
        <f aca="false">Engagements!V25+Engagements!V27+Engagements!V36</f>
        <v>0</v>
      </c>
      <c r="W124" s="67" t="n">
        <f aca="false">Engagements!W25+Engagements!W27+Engagements!W36</f>
        <v>0</v>
      </c>
      <c r="X124" s="67" t="n">
        <f aca="false">Engagements!X25+Engagements!X27+Engagements!X36</f>
        <v>0</v>
      </c>
      <c r="Y124" s="67" t="n">
        <f aca="false">Engagements!Y25+Engagements!Y27+Engagements!Y36</f>
        <v>0</v>
      </c>
      <c r="Z124" s="67" t="n">
        <f aca="false">Engagements!Z25+Engagements!Z27+Engagements!Z36</f>
        <v>0</v>
      </c>
      <c r="AA124" s="67" t="n">
        <f aca="false">Engagements!AA25+Engagements!AA27+Engagements!AA36</f>
        <v>0</v>
      </c>
      <c r="AB124" s="67" t="n">
        <f aca="false">Engagements!AB25+Engagements!AB27+Engagements!AB36</f>
        <v>0</v>
      </c>
    </row>
    <row r="125" customFormat="false" ht="15" hidden="false" customHeight="false" outlineLevel="0" collapsed="false">
      <c r="A125" s="29" t="s">
        <v>833</v>
      </c>
      <c r="B125" s="60" t="s">
        <v>51</v>
      </c>
      <c r="C125" s="61" t="n">
        <f aca="false">SUM(E125:P125)</f>
        <v>713774.214181478</v>
      </c>
      <c r="D125" s="61" t="n">
        <f aca="false">SUM(Q125:AB125)</f>
        <v>195955.142051263</v>
      </c>
      <c r="E125" s="62" t="n">
        <f aca="false">Engagements!E292+Engagements!E322+Engagements!E451</f>
        <v>70084.21</v>
      </c>
      <c r="F125" s="62" t="n">
        <f aca="false">Engagements!F292+Engagements!F322+Engagements!F451</f>
        <v>70300.58</v>
      </c>
      <c r="G125" s="62" t="n">
        <f aca="false">Engagements!G292+Engagements!G322+Engagements!G451</f>
        <v>82456.64</v>
      </c>
      <c r="H125" s="62" t="n">
        <f aca="false">Engagements!H292+Engagements!H322+Engagements!H451</f>
        <v>65481.43</v>
      </c>
      <c r="I125" s="62" t="n">
        <f aca="false">Engagements!I292+Engagements!I322+Engagements!I451</f>
        <v>60485.25</v>
      </c>
      <c r="J125" s="62" t="n">
        <f aca="false">Engagements!J292+Engagements!J322+Engagements!J451</f>
        <v>80627.33</v>
      </c>
      <c r="K125" s="62" t="n">
        <f aca="false">Engagements!K292+Engagements!K322+Engagements!K451</f>
        <v>0</v>
      </c>
      <c r="L125" s="62" t="n">
        <f aca="false">Engagements!L292+Engagements!L322+Engagements!L451</f>
        <v>0</v>
      </c>
      <c r="M125" s="62" t="n">
        <f aca="false">Engagements!M292+Engagements!M322+Engagements!M451</f>
        <v>72995.572404116</v>
      </c>
      <c r="N125" s="62" t="n">
        <f aca="false">Engagements!N292+Engagements!N322+Engagements!N451</f>
        <v>70320.3420018709</v>
      </c>
      <c r="O125" s="62" t="n">
        <f aca="false">Engagements!O292+Engagements!O322+Engagements!O451</f>
        <v>69555.9904583723</v>
      </c>
      <c r="P125" s="62" t="n">
        <f aca="false">Engagements!P292+Engagements!P322+Engagements!P451</f>
        <v>71466.8693171188</v>
      </c>
      <c r="Q125" s="62" t="n">
        <f aca="false">Engagements!Q292+Engagements!Q322+Engagements!Q451</f>
        <v>63594.0484190833</v>
      </c>
      <c r="R125" s="62" t="n">
        <f aca="false">Engagements!R292+Engagements!R322+Engagements!R451</f>
        <v>82076.3559172096</v>
      </c>
      <c r="S125" s="62" t="n">
        <f aca="false">Engagements!S292+Engagements!S322+Engagements!S451</f>
        <v>17694.6293748503</v>
      </c>
      <c r="T125" s="62" t="n">
        <f aca="false">Engagements!T292+Engagements!T322+Engagements!T451</f>
        <v>18494.3866347305</v>
      </c>
      <c r="U125" s="62" t="n">
        <f aca="false">Engagements!U292+Engagements!U322+Engagements!U451</f>
        <v>14095.7217053892</v>
      </c>
      <c r="V125" s="62" t="n">
        <f aca="false">Engagements!V292+Engagements!V322+Engagements!V451</f>
        <v>0</v>
      </c>
      <c r="W125" s="62" t="n">
        <f aca="false">Engagements!W292+Engagements!W322+Engagements!W451</f>
        <v>0</v>
      </c>
      <c r="X125" s="62" t="n">
        <f aca="false">Engagements!X292+Engagements!X322+Engagements!X451</f>
        <v>0</v>
      </c>
      <c r="Y125" s="62" t="n">
        <f aca="false">Engagements!Y292+Engagements!Y322+Engagements!Y451</f>
        <v>0</v>
      </c>
      <c r="Z125" s="62" t="n">
        <f aca="false">Engagements!Z292+Engagements!Z322+Engagements!Z451</f>
        <v>0</v>
      </c>
      <c r="AA125" s="62" t="n">
        <f aca="false">Engagements!AA292+Engagements!AA322+Engagements!AA451</f>
        <v>0</v>
      </c>
      <c r="AB125" s="62" t="n">
        <f aca="false">Engagements!AB292+Engagements!AB322+Engagements!AB451</f>
        <v>0</v>
      </c>
    </row>
    <row r="126" customFormat="false" ht="15" hidden="false" customHeight="false" outlineLevel="0" collapsed="false">
      <c r="A126" s="29" t="s">
        <v>716</v>
      </c>
      <c r="B126" s="60" t="s">
        <v>51</v>
      </c>
      <c r="C126" s="61" t="n">
        <f aca="false">SUM(E126:P126)</f>
        <v>622243.897847633</v>
      </c>
      <c r="D126" s="61" t="n">
        <f aca="false">SUM(Q126:AB126)</f>
        <v>251196.869115061</v>
      </c>
      <c r="E126" s="62" t="n">
        <f aca="false">Engagements!E295+Engagements!E325+Engagements!E456+Engagements!E299+Engagements!E329</f>
        <v>0</v>
      </c>
      <c r="F126" s="62" t="n">
        <f aca="false">Engagements!F295+Engagements!F325+Engagements!F456+Engagements!F299+Engagements!F329</f>
        <v>69401.77</v>
      </c>
      <c r="G126" s="62" t="n">
        <f aca="false">Engagements!G295+Engagements!G325+Engagements!G456+Engagements!G299+Engagements!G329</f>
        <v>67624.95</v>
      </c>
      <c r="H126" s="62" t="n">
        <f aca="false">Engagements!H295+Engagements!H325+Engagements!H456+Engagements!H299+Engagements!H329</f>
        <v>80169.45</v>
      </c>
      <c r="I126" s="62" t="n">
        <f aca="false">Engagements!I295+Engagements!I325+Engagements!I456+Engagements!I299+Engagements!I329</f>
        <v>64081.38</v>
      </c>
      <c r="J126" s="62" t="n">
        <f aca="false">Engagements!J295+Engagements!J325+Engagements!J456+Engagements!J299+Engagements!J329</f>
        <v>59594.53</v>
      </c>
      <c r="K126" s="62" t="n">
        <f aca="false">Engagements!K295+Engagements!K325+Engagements!K456+Engagements!K299+Engagements!K329</f>
        <v>78454.05</v>
      </c>
      <c r="L126" s="62" t="n">
        <f aca="false">Engagements!L295+Engagements!L325+Engagements!L456+Engagements!L299+Engagements!L329</f>
        <v>0</v>
      </c>
      <c r="M126" s="62" t="n">
        <f aca="false">Engagements!M295+Engagements!M325+Engagements!M456+Engagements!M299+Engagements!M329</f>
        <v>0</v>
      </c>
      <c r="N126" s="62" t="n">
        <f aca="false">Engagements!N295+Engagements!N325+Engagements!N456+Engagements!N299+Engagements!N329</f>
        <v>69582.2148274649</v>
      </c>
      <c r="O126" s="62" t="n">
        <f aca="false">Engagements!O295+Engagements!O325+Engagements!O456+Engagements!O299+Engagements!O329</f>
        <v>67032.0812997568</v>
      </c>
      <c r="P126" s="62" t="n">
        <f aca="false">Engagements!P295+Engagements!P325+Engagements!P456+Engagements!P299+Engagements!P329</f>
        <v>66303.4717204116</v>
      </c>
      <c r="Q126" s="62" t="n">
        <f aca="false">Engagements!Q295+Engagements!Q325+Engagements!Q456+Engagements!Q299+Engagements!Q329</f>
        <v>68124.9956687746</v>
      </c>
      <c r="R126" s="62" t="n">
        <f aca="false">Engagements!R295+Engagements!R325+Engagements!R456+Engagements!R299+Engagements!R329</f>
        <v>78589.2300043255</v>
      </c>
      <c r="S126" s="62" t="n">
        <f aca="false">Engagements!S295+Engagements!S325+Engagements!S456+Engagements!S299+Engagements!S329</f>
        <v>62482.6434419607</v>
      </c>
      <c r="T126" s="62" t="n">
        <f aca="false">Engagements!T295+Engagements!T325+Engagements!T456+Engagements!T299+Engagements!T329</f>
        <v>24000</v>
      </c>
      <c r="U126" s="62" t="n">
        <f aca="false">Engagements!U295+Engagements!U325+Engagements!U456+Engagements!U299+Engagements!U329</f>
        <v>18000</v>
      </c>
      <c r="V126" s="62" t="n">
        <f aca="false">Engagements!V295+Engagements!V325+Engagements!V456+Engagements!V299+Engagements!V329</f>
        <v>0</v>
      </c>
      <c r="W126" s="62" t="n">
        <f aca="false">Engagements!W295+Engagements!W325+Engagements!W456+Engagements!W299+Engagements!W329</f>
        <v>0</v>
      </c>
      <c r="X126" s="62" t="n">
        <f aca="false">Engagements!X295+Engagements!X325+Engagements!X456+Engagements!X299+Engagements!X329</f>
        <v>0</v>
      </c>
      <c r="Y126" s="62" t="n">
        <f aca="false">Engagements!Y295+Engagements!Y325+Engagements!Y456+Engagements!Y299+Engagements!Y329</f>
        <v>0</v>
      </c>
      <c r="Z126" s="62" t="n">
        <f aca="false">Engagements!Z295+Engagements!Z325+Engagements!Z456+Engagements!Z299+Engagements!Z329</f>
        <v>0</v>
      </c>
      <c r="AA126" s="62" t="n">
        <f aca="false">Engagements!AA295+Engagements!AA325+Engagements!AA456+Engagements!AA299+Engagements!AA329</f>
        <v>0</v>
      </c>
      <c r="AB126" s="62" t="n">
        <f aca="false">Engagements!AB295+Engagements!AB325+Engagements!AB456+Engagements!AB299+Engagements!AB329</f>
        <v>0</v>
      </c>
    </row>
    <row r="127" customFormat="false" ht="15" hidden="false" customHeight="false" outlineLevel="0" collapsed="false">
      <c r="A127" s="29" t="s">
        <v>949</v>
      </c>
      <c r="B127" s="60" t="s">
        <v>950</v>
      </c>
      <c r="C127" s="61" t="n">
        <f aca="false">SUM(E127:P127)</f>
        <v>118226.34059105</v>
      </c>
      <c r="D127" s="61" t="n">
        <f aca="false">SUM(Q127:AB127)</f>
        <v>47727.4051318616</v>
      </c>
      <c r="E127" s="62" t="n">
        <f aca="false">E126*Client_Register!$E$15</f>
        <v>0</v>
      </c>
      <c r="F127" s="62" t="n">
        <f aca="false">F126*Client_Register!$E$15</f>
        <v>13186.3363</v>
      </c>
      <c r="G127" s="62" t="n">
        <f aca="false">G126*Client_Register!$E$15</f>
        <v>12848.7405</v>
      </c>
      <c r="H127" s="62" t="n">
        <f aca="false">H126*Client_Register!$E$15</f>
        <v>15232.1955</v>
      </c>
      <c r="I127" s="62" t="n">
        <f aca="false">I126*Client_Register!$E$15</f>
        <v>12175.4622</v>
      </c>
      <c r="J127" s="62" t="n">
        <f aca="false">J126*Client_Register!$E$15</f>
        <v>11322.9607</v>
      </c>
      <c r="K127" s="62" t="n">
        <f aca="false">K126*Client_Register!$E$15</f>
        <v>14906.2695</v>
      </c>
      <c r="L127" s="62" t="n">
        <f aca="false">L126*Client_Register!$E$15</f>
        <v>0</v>
      </c>
      <c r="M127" s="62" t="n">
        <f aca="false">M126*Client_Register!$E$15</f>
        <v>0</v>
      </c>
      <c r="N127" s="62" t="n">
        <f aca="false">N126*Client_Register!$E$15</f>
        <v>13220.6208172183</v>
      </c>
      <c r="O127" s="62" t="n">
        <f aca="false">O126*Client_Register!$E$15</f>
        <v>12736.0954469538</v>
      </c>
      <c r="P127" s="62" t="n">
        <f aca="false">P126*Client_Register!$E$15</f>
        <v>12597.6596268782</v>
      </c>
      <c r="Q127" s="62" t="n">
        <f aca="false">Q126*Client_Register!$E$15</f>
        <v>12943.7491770672</v>
      </c>
      <c r="R127" s="62" t="n">
        <f aca="false">R126*Client_Register!$E$15</f>
        <v>14931.9537008219</v>
      </c>
      <c r="S127" s="62" t="n">
        <f aca="false">S126*Client_Register!$E$15</f>
        <v>11871.7022539725</v>
      </c>
      <c r="T127" s="62" t="n">
        <f aca="false">T126*Client_Register!$E$15</f>
        <v>4560</v>
      </c>
      <c r="U127" s="62" t="n">
        <f aca="false">U126*Client_Register!$E$15</f>
        <v>3420</v>
      </c>
      <c r="V127" s="62" t="n">
        <f aca="false">V126*Client_Register!$E$15</f>
        <v>0</v>
      </c>
      <c r="W127" s="62" t="n">
        <f aca="false">W126*Client_Register!$E$15</f>
        <v>0</v>
      </c>
      <c r="X127" s="62" t="n">
        <f aca="false">X126*Client_Register!$E$15</f>
        <v>0</v>
      </c>
      <c r="Y127" s="62" t="n">
        <f aca="false">Y126*Client_Register!$E$15</f>
        <v>0</v>
      </c>
      <c r="Z127" s="62" t="n">
        <f aca="false">Z126*Client_Register!$E$15</f>
        <v>0</v>
      </c>
      <c r="AA127" s="62" t="n">
        <f aca="false">AA126*Client_Register!$E$15</f>
        <v>0</v>
      </c>
      <c r="AB127" s="62" t="n">
        <f aca="false">AB126*Client_Register!$E$15</f>
        <v>0</v>
      </c>
    </row>
    <row r="128" customFormat="false" ht="15" hidden="false" customHeight="false" outlineLevel="0" collapsed="false">
      <c r="A128" s="68" t="s">
        <v>951</v>
      </c>
      <c r="B128" s="69"/>
      <c r="C128" s="70" t="n">
        <f aca="false">SUM(E128:P128)</f>
        <v>740470.238438684</v>
      </c>
      <c r="D128" s="70" t="n">
        <f aca="false">SUM(Q128:AB128)</f>
        <v>298924.274246922</v>
      </c>
      <c r="E128" s="70" t="n">
        <f aca="false">E126+E127</f>
        <v>0</v>
      </c>
      <c r="F128" s="70" t="n">
        <f aca="false">F126+F127</f>
        <v>82588.1063</v>
      </c>
      <c r="G128" s="70" t="n">
        <f aca="false">G126+G127</f>
        <v>80473.6905</v>
      </c>
      <c r="H128" s="70" t="n">
        <f aca="false">H126+H127</f>
        <v>95401.6455</v>
      </c>
      <c r="I128" s="70" t="n">
        <f aca="false">I126+I127</f>
        <v>76256.8422</v>
      </c>
      <c r="J128" s="70" t="n">
        <f aca="false">J126+J127</f>
        <v>70917.4907</v>
      </c>
      <c r="K128" s="70" t="n">
        <f aca="false">K126+K127</f>
        <v>93360.3195</v>
      </c>
      <c r="L128" s="70" t="n">
        <f aca="false">L126+L127</f>
        <v>0</v>
      </c>
      <c r="M128" s="70" t="n">
        <f aca="false">M126+M127</f>
        <v>0</v>
      </c>
      <c r="N128" s="70" t="n">
        <f aca="false">N126+N127</f>
        <v>82802.8356446833</v>
      </c>
      <c r="O128" s="70" t="n">
        <f aca="false">O126+O127</f>
        <v>79768.1767467106</v>
      </c>
      <c r="P128" s="70" t="n">
        <f aca="false">P126+P127</f>
        <v>78901.1313472898</v>
      </c>
      <c r="Q128" s="70" t="n">
        <f aca="false">Q126+Q127</f>
        <v>81068.7448458417</v>
      </c>
      <c r="R128" s="70" t="n">
        <f aca="false">R126+R127</f>
        <v>93521.1837051474</v>
      </c>
      <c r="S128" s="70" t="n">
        <f aca="false">S126+S127</f>
        <v>74354.3456959332</v>
      </c>
      <c r="T128" s="70" t="n">
        <f aca="false">T126+T127</f>
        <v>28560</v>
      </c>
      <c r="U128" s="70" t="n">
        <f aca="false">U126+U127</f>
        <v>21420</v>
      </c>
      <c r="V128" s="70" t="n">
        <f aca="false">V126+V127</f>
        <v>0</v>
      </c>
      <c r="W128" s="70" t="n">
        <f aca="false">W126+W127</f>
        <v>0</v>
      </c>
      <c r="X128" s="70" t="n">
        <f aca="false">X126+X127</f>
        <v>0</v>
      </c>
      <c r="Y128" s="70" t="n">
        <f aca="false">Y126+Y127</f>
        <v>0</v>
      </c>
      <c r="Z128" s="70" t="n">
        <f aca="false">Z126+Z127</f>
        <v>0</v>
      </c>
      <c r="AA128" s="70" t="n">
        <f aca="false">AA126+AA127</f>
        <v>0</v>
      </c>
      <c r="AB128" s="70" t="n">
        <f aca="false">AB126+AB127</f>
        <v>0</v>
      </c>
    </row>
    <row r="129" customFormat="false" ht="15" hidden="false" customHeight="false" outlineLevel="0" collapsed="false">
      <c r="A129" s="29" t="s">
        <v>952</v>
      </c>
      <c r="B129" s="60" t="s">
        <v>953</v>
      </c>
      <c r="C129" s="61" t="n">
        <f aca="false">SUM(E129:P129)</f>
        <v>661569.107091394</v>
      </c>
      <c r="D129" s="61" t="n">
        <f aca="false">SUM(Q129:AB129)</f>
        <v>377825.405594212</v>
      </c>
      <c r="E129" s="62" t="n">
        <f aca="false">IF(E$5="A",Inputs_Actuals!E112,Client_Register!$J$15+E128-(E128*MIN(1,Client_Register!$I$15/30)+0*MIN(1,MAX(0,(Client_Register!$I$15-30)/30))+0*MIN(1,MAX(0,(Client_Register!$I$15-60)/30))))</f>
        <v>0</v>
      </c>
      <c r="F129" s="62" t="n">
        <f aca="false">IF(F$5="A",Inputs_Actuals!F112,E130+F128-(F128*MIN(1,Client_Register!$I$15/30)+E128*MIN(1,MAX(0,(Client_Register!$I$15-30)/30))+0*MIN(1,MAX(0,(Client_Register!$I$15-60)/30))))</f>
        <v>119.79</v>
      </c>
      <c r="G129" s="62" t="n">
        <f aca="false">IF(G$5="A",Inputs_Actuals!G112,F130+G128-(G128*MIN(1,Client_Register!$I$15/30)+F128*MIN(1,MAX(0,(Client_Register!$I$15-30)/30))+E128*MIN(1,MAX(0,(Client_Register!$I$15-60)/30))))</f>
        <v>89154.11</v>
      </c>
      <c r="H129" s="62" t="n">
        <f aca="false">IF(H$5="A",Inputs_Actuals!H112,G130+H128-(H128*MIN(1,Client_Register!$I$15/30)+G128*MIN(1,MAX(0,(Client_Register!$I$15-30)/30))+F128*MIN(1,MAX(0,(Client_Register!$I$15-60)/30))))</f>
        <v>72598.56</v>
      </c>
      <c r="I129" s="62" t="n">
        <f aca="false">IF(I$5="A",Inputs_Actuals!I112,H130+I128-(I128*MIN(1,Client_Register!$I$15/30)+H128*MIN(1,MAX(0,(Client_Register!$I$15-30)/30))+G128*MIN(1,MAX(0,(Client_Register!$I$15-60)/30))))</f>
        <v>102675.64</v>
      </c>
      <c r="J129" s="62" t="n">
        <f aca="false">IF(J$5="A",Inputs_Actuals!J112,I130+J128-(J128*MIN(1,Client_Register!$I$15/30)+I128*MIN(1,MAX(0,(Client_Register!$I$15-30)/30))+H128*MIN(1,MAX(0,(Client_Register!$I$15-60)/30))))</f>
        <v>69279.44</v>
      </c>
      <c r="K129" s="62" t="n">
        <f aca="false">IF(K$5="A",Inputs_Actuals!K112,J130+K128-(K128*MIN(1,Client_Register!$I$15/30)+J128*MIN(1,MAX(0,(Client_Register!$I$15-30)/30))+I128*MIN(1,MAX(0,(Client_Register!$I$15-60)/30))))</f>
        <v>67829.61</v>
      </c>
      <c r="L129" s="62" t="n">
        <f aca="false">IF(L$5="A",Inputs_Actuals!L112,K130+L128-(L128*MIN(1,Client_Register!$I$15/30)+K128*MIN(1,MAX(0,(Client_Register!$I$15-30)/30))+J128*MIN(1,MAX(0,(Client_Register!$I$15-60)/30))))</f>
        <v>97340.95</v>
      </c>
      <c r="M129" s="62" t="n">
        <f aca="false">IF(M$5="A",Inputs_Actuals!M112,L130+M128-(M128*MIN(1,Client_Register!$I$15/30)+L128*MIN(1,MAX(0,(Client_Register!$I$15-30)/30))+K128*MIN(1,MAX(0,(Client_Register!$I$15-60)/30))))</f>
        <v>-0.00530000001890585</v>
      </c>
      <c r="N129" s="62" t="n">
        <f aca="false">IF(N$5="A",Inputs_Actuals!N112,M130+N128-(N128*MIN(1,Client_Register!$I$15/30)+M128*MIN(1,MAX(0,(Client_Register!$I$15-30)/30))+L128*MIN(1,MAX(0,(Client_Register!$I$15-60)/30))))</f>
        <v>0</v>
      </c>
      <c r="O129" s="62" t="n">
        <f aca="false">IF(O$5="A",Inputs_Actuals!O112,N130+O128-(O128*MIN(1,Client_Register!$I$15/30)+N128*MIN(1,MAX(0,(Client_Register!$I$15-30)/30))+M128*MIN(1,MAX(0,(Client_Register!$I$15-60)/30))))</f>
        <v>82802.8356446833</v>
      </c>
      <c r="P129" s="62" t="n">
        <f aca="false">IF(P$5="A",Inputs_Actuals!P112,O130+P128-(P128*MIN(1,Client_Register!$I$15/30)+O128*MIN(1,MAX(0,(Client_Register!$I$15-30)/30))+N128*MIN(1,MAX(0,(Client_Register!$I$15-60)/30))))</f>
        <v>79768.1767467106</v>
      </c>
      <c r="Q129" s="62" t="n">
        <f aca="false">IF(Q$5="A",Inputs_Actuals!Q112,P130+Q128-(Q128*MIN(1,Client_Register!$I$15/30)+P128*MIN(1,MAX(0,(Client_Register!$I$15-30)/30))+O128*MIN(1,MAX(0,(Client_Register!$I$15-60)/30))))</f>
        <v>78901.1313472898</v>
      </c>
      <c r="R129" s="62" t="n">
        <f aca="false">IF(R$5="A",Inputs_Actuals!R112,Q130+R128-(R128*MIN(1,Client_Register!$I$15/30)+Q128*MIN(1,MAX(0,(Client_Register!$I$15-30)/30))+P128*MIN(1,MAX(0,(Client_Register!$I$15-60)/30))))</f>
        <v>81068.7448458417</v>
      </c>
      <c r="S129" s="62" t="n">
        <f aca="false">IF(S$5="A",Inputs_Actuals!S112,R130+S128-(S128*MIN(1,Client_Register!$I$15/30)+R128*MIN(1,MAX(0,(Client_Register!$I$15-30)/30))+Q128*MIN(1,MAX(0,(Client_Register!$I$15-60)/30))))</f>
        <v>93521.1837051474</v>
      </c>
      <c r="T129" s="62" t="n">
        <f aca="false">IF(T$5="A",Inputs_Actuals!T112,S130+T128-(T128*MIN(1,Client_Register!$I$15/30)+S128*MIN(1,MAX(0,(Client_Register!$I$15-30)/30))+R128*MIN(1,MAX(0,(Client_Register!$I$15-60)/30))))</f>
        <v>74354.3456959332</v>
      </c>
      <c r="U129" s="62" t="n">
        <f aca="false">IF(U$5="A",Inputs_Actuals!U112,T130+U128-(U128*MIN(1,Client_Register!$I$15/30)+T128*MIN(1,MAX(0,(Client_Register!$I$15-30)/30))+S128*MIN(1,MAX(0,(Client_Register!$I$15-60)/30))))</f>
        <v>28560</v>
      </c>
      <c r="V129" s="62" t="n">
        <f aca="false">IF(V$5="A",Inputs_Actuals!V112,U130+V128-(V128*MIN(1,Client_Register!$I$15/30)+U128*MIN(1,MAX(0,(Client_Register!$I$15-30)/30))+T128*MIN(1,MAX(0,(Client_Register!$I$15-60)/30))))</f>
        <v>21420</v>
      </c>
      <c r="W129" s="62" t="n">
        <f aca="false">IF(W$5="A",Inputs_Actuals!W112,V130+W128-(W128*MIN(1,Client_Register!$I$15/30)+V128*MIN(1,MAX(0,(Client_Register!$I$15-30)/30))+U128*MIN(1,MAX(0,(Client_Register!$I$15-60)/30))))</f>
        <v>0</v>
      </c>
      <c r="X129" s="62" t="n">
        <f aca="false">IF(X$5="A",Inputs_Actuals!X112,W130+X128-(X128*MIN(1,Client_Register!$I$15/30)+W128*MIN(1,MAX(0,(Client_Register!$I$15-30)/30))+V128*MIN(1,MAX(0,(Client_Register!$I$15-60)/30))))</f>
        <v>0</v>
      </c>
      <c r="Y129" s="62" t="n">
        <f aca="false">IF(Y$5="A",Inputs_Actuals!Y112,X130+Y128-(Y128*MIN(1,Client_Register!$I$15/30)+X128*MIN(1,MAX(0,(Client_Register!$I$15-30)/30))+W128*MIN(1,MAX(0,(Client_Register!$I$15-60)/30))))</f>
        <v>0</v>
      </c>
      <c r="Z129" s="62" t="n">
        <f aca="false">IF(Z$5="A",Inputs_Actuals!Z112,Y130+Z128-(Z128*MIN(1,Client_Register!$I$15/30)+Y128*MIN(1,MAX(0,(Client_Register!$I$15-30)/30))+X128*MIN(1,MAX(0,(Client_Register!$I$15-60)/30))))</f>
        <v>0</v>
      </c>
      <c r="AA129" s="62" t="n">
        <f aca="false">IF(AA$5="A",Inputs_Actuals!AA112,Z130+AA128-(AA128*MIN(1,Client_Register!$I$15/30)+Z128*MIN(1,MAX(0,(Client_Register!$I$15-30)/30))+Y128*MIN(1,MAX(0,(Client_Register!$I$15-60)/30))))</f>
        <v>0</v>
      </c>
      <c r="AB129" s="62" t="n">
        <f aca="false">IF(AB$5="A",Inputs_Actuals!AB112,AA130+AB128-(AB128*MIN(1,Client_Register!$I$15/30)+AA128*MIN(1,MAX(0,(Client_Register!$I$15-30)/30))+Z128*MIN(1,MAX(0,(Client_Register!$I$15-60)/30))))</f>
        <v>0</v>
      </c>
    </row>
    <row r="130" customFormat="false" ht="15" hidden="false" customHeight="false" outlineLevel="0" collapsed="false">
      <c r="A130" s="68" t="s">
        <v>954</v>
      </c>
      <c r="B130" s="69" t="s">
        <v>955</v>
      </c>
      <c r="C130" s="70" t="n">
        <f aca="false">P130</f>
        <v>78901.1313472898</v>
      </c>
      <c r="D130" s="70" t="n">
        <f aca="false">AB130</f>
        <v>0</v>
      </c>
      <c r="E130" s="74" t="n">
        <f aca="false">Client_Register!$J$15+E128-E129</f>
        <v>0</v>
      </c>
      <c r="F130" s="70" t="n">
        <f aca="false">E130+F128-F129</f>
        <v>82468.3163</v>
      </c>
      <c r="G130" s="70" t="n">
        <f aca="false">F130+G128-G129</f>
        <v>73787.8968</v>
      </c>
      <c r="H130" s="70" t="n">
        <f aca="false">G130+H128-H129</f>
        <v>96590.9823</v>
      </c>
      <c r="I130" s="70" t="n">
        <f aca="false">H130+I128-I129</f>
        <v>70172.1845</v>
      </c>
      <c r="J130" s="70" t="n">
        <f aca="false">I130+J128-J129</f>
        <v>71810.2352</v>
      </c>
      <c r="K130" s="70" t="n">
        <f aca="false">J130+K128-K129</f>
        <v>97340.9447</v>
      </c>
      <c r="L130" s="70" t="n">
        <f aca="false">K130+L128-L129</f>
        <v>-0.00530000001890585</v>
      </c>
      <c r="M130" s="70" t="n">
        <f aca="false">L130+M128-M129</f>
        <v>0</v>
      </c>
      <c r="N130" s="70" t="n">
        <f aca="false">M130+N128-N129</f>
        <v>82802.8356446833</v>
      </c>
      <c r="O130" s="70" t="n">
        <f aca="false">N130+O128-O129</f>
        <v>79768.1767467106</v>
      </c>
      <c r="P130" s="70" t="n">
        <f aca="false">O130+P128-P129</f>
        <v>78901.1313472898</v>
      </c>
      <c r="Q130" s="70" t="n">
        <f aca="false">P130+Q128-Q129</f>
        <v>81068.7448458417</v>
      </c>
      <c r="R130" s="70" t="n">
        <f aca="false">Q130+R128-R129</f>
        <v>93521.1837051474</v>
      </c>
      <c r="S130" s="70" t="n">
        <f aca="false">R130+S128-S129</f>
        <v>74354.3456959332</v>
      </c>
      <c r="T130" s="70" t="n">
        <f aca="false">S130+T128-T129</f>
        <v>28560</v>
      </c>
      <c r="U130" s="70" t="n">
        <f aca="false">T130+U128-U129</f>
        <v>21420</v>
      </c>
      <c r="V130" s="70" t="n">
        <f aca="false">U130+V128-V129</f>
        <v>0</v>
      </c>
      <c r="W130" s="70" t="n">
        <f aca="false">V130+W128-W129</f>
        <v>0</v>
      </c>
      <c r="X130" s="70" t="n">
        <f aca="false">W130+X128-X129</f>
        <v>0</v>
      </c>
      <c r="Y130" s="70" t="n">
        <f aca="false">X130+Y128-Y129</f>
        <v>0</v>
      </c>
      <c r="Z130" s="70" t="n">
        <f aca="false">Y130+Z128-Z129</f>
        <v>0</v>
      </c>
      <c r="AA130" s="70" t="n">
        <f aca="false">Z130+AA128-AA129</f>
        <v>0</v>
      </c>
      <c r="AB130" s="70" t="n">
        <f aca="false">AA130+AB128-AB129</f>
        <v>0</v>
      </c>
    </row>
    <row r="131" customFormat="false" ht="15" hidden="false" customHeight="false" outlineLevel="0" collapsed="false">
      <c r="A131" s="29" t="s">
        <v>956</v>
      </c>
      <c r="B131" s="60"/>
      <c r="C131" s="66" t="n">
        <f aca="false">P131</f>
        <v>30.0610412926391</v>
      </c>
      <c r="D131" s="66" t="n">
        <f aca="false">AB131</f>
        <v>0</v>
      </c>
      <c r="E131" s="67" t="n">
        <f aca="false">IFERROR(E130/SUM(E128:E128)*SUM(Assumptions!E$191:E$191),0)</f>
        <v>0</v>
      </c>
      <c r="F131" s="67" t="n">
        <f aca="false">IFERROR(F130/SUM(E128:F128)*SUM(Assumptions!E$191:F$191),0)</f>
        <v>58.9144233919794</v>
      </c>
      <c r="G131" s="67" t="n">
        <f aca="false">IFERROR(G130/SUM(E128:G128)*SUM(Assumptions!E$191:G$191),0)</f>
        <v>40.7263432779737</v>
      </c>
      <c r="H131" s="67" t="n">
        <f aca="false">IFERROR(H130/SUM(F128:H128)*SUM(Assumptions!F$191:H$191),0)</f>
        <v>33.2603998004557</v>
      </c>
      <c r="I131" s="67" t="n">
        <f aca="false">IFERROR(I130/SUM(G128:I128)*SUM(Assumptions!G$191:I$191),0)</f>
        <v>25.6049863214167</v>
      </c>
      <c r="J131" s="67" t="n">
        <f aca="false">IFERROR(J130/SUM(H128:J128)*SUM(Assumptions!H$191:J$191),0)</f>
        <v>26.9389056834986</v>
      </c>
      <c r="K131" s="67" t="n">
        <f aca="false">IFERROR(K130/SUM(I128:K128)*SUM(Assumptions!I$191:K$191),0)</f>
        <v>37.2310884234159</v>
      </c>
      <c r="L131" s="67" t="n">
        <f aca="false">IFERROR(L130/SUM(J128:L128)*SUM(Assumptions!J$191:L$191),0)</f>
        <v>-2.96814281335811E-006</v>
      </c>
      <c r="M131" s="67" t="n">
        <f aca="false">IFERROR(M130/SUM(K128:M128)*SUM(Assumptions!K$191:M$191),0)</f>
        <v>0</v>
      </c>
      <c r="N131" s="67" t="n">
        <f aca="false">IFERROR(N130/SUM(L128:N128)*SUM(Assumptions!L$191:N$191),0)</f>
        <v>92</v>
      </c>
      <c r="O131" s="67" t="n">
        <f aca="false">IFERROR(O130/SUM(M128:O128)*SUM(Assumptions!M$191:O$191),0)</f>
        <v>44.6506666666667</v>
      </c>
      <c r="P131" s="67" t="n">
        <f aca="false">IFERROR(P130/SUM(N128:P128)*SUM(Assumptions!N$191:P$191),0)</f>
        <v>30.0610412926391</v>
      </c>
      <c r="Q131" s="67" t="n">
        <f aca="false">IFERROR(Q130/SUM(O128:Q128)*SUM(Assumptions!O$191:Q$191),0)</f>
        <v>31.1103074141049</v>
      </c>
      <c r="R131" s="67" t="n">
        <f aca="false">IFERROR(R130/SUM(P128:R128)*SUM(Assumptions!P$191:R$191),0)</f>
        <v>33.2039581074015</v>
      </c>
      <c r="S131" s="67" t="n">
        <f aca="false">IFERROR(S130/SUM(Q128:S128)*SUM(Assumptions!Q$191:S$191),0)</f>
        <v>26.8810806469742</v>
      </c>
      <c r="T131" s="67" t="n">
        <f aca="false">IFERROR(T130/SUM(R128:T128)*SUM(Assumptions!R$191:T$191),0)</f>
        <v>12.9398180041559</v>
      </c>
      <c r="U131" s="67" t="n">
        <f aca="false">IFERROR(U130/SUM(S128:U128)*SUM(Assumptions!S$191:U$191),0)</f>
        <v>15.8495224225438</v>
      </c>
      <c r="V131" s="67" t="n">
        <f aca="false">IFERROR(V130/SUM(T128:V128)*SUM(Assumptions!T$191:V$191),0)</f>
        <v>0</v>
      </c>
      <c r="W131" s="67" t="n">
        <f aca="false">IFERROR(W130/SUM(U128:W128)*SUM(Assumptions!U$191:W$191),0)</f>
        <v>0</v>
      </c>
      <c r="X131" s="67" t="n">
        <f aca="false">IFERROR(X130/SUM(V128:X128)*SUM(Assumptions!V$191:X$191),0)</f>
        <v>0</v>
      </c>
      <c r="Y131" s="67" t="n">
        <f aca="false">IFERROR(Y130/SUM(W128:Y128)*SUM(Assumptions!W$191:Y$191),0)</f>
        <v>0</v>
      </c>
      <c r="Z131" s="67" t="n">
        <f aca="false">IFERROR(Z130/SUM(X128:Z128)*SUM(Assumptions!X$191:Z$191),0)</f>
        <v>0</v>
      </c>
      <c r="AA131" s="67" t="n">
        <f aca="false">IFERROR(AA130/SUM(Y128:AA128)*SUM(Assumptions!Y$191:AA$191),0)</f>
        <v>0</v>
      </c>
      <c r="AB131" s="67" t="n">
        <f aca="false">IFERROR(AB130/SUM(Z128:AB128)*SUM(Assumptions!Z$191:AB$191),0)</f>
        <v>0</v>
      </c>
    </row>
    <row r="132" customFormat="false" ht="15" hidden="false" customHeight="false" outlineLevel="0" collapsed="false">
      <c r="A132" s="29" t="s">
        <v>957</v>
      </c>
      <c r="B132" s="60" t="s">
        <v>51</v>
      </c>
      <c r="C132" s="61" t="n">
        <f aca="false">P132</f>
        <v>68124.9956687746</v>
      </c>
      <c r="D132" s="61" t="n">
        <f aca="false">AB132</f>
        <v>0</v>
      </c>
      <c r="E132" s="62" t="n">
        <f aca="false">Engagements!E300+Engagements!E330+Engagements!E459</f>
        <v>69401.77</v>
      </c>
      <c r="F132" s="62" t="n">
        <f aca="false">Engagements!F300+Engagements!F330+Engagements!F459</f>
        <v>67624.95</v>
      </c>
      <c r="G132" s="62" t="n">
        <f aca="false">Engagements!G300+Engagements!G330+Engagements!G459</f>
        <v>80169.45</v>
      </c>
      <c r="H132" s="62" t="n">
        <f aca="false">Engagements!H300+Engagements!H330+Engagements!H459</f>
        <v>64081.38</v>
      </c>
      <c r="I132" s="62" t="n">
        <f aca="false">Engagements!I300+Engagements!I330+Engagements!I459</f>
        <v>59594.53</v>
      </c>
      <c r="J132" s="62" t="n">
        <f aca="false">Engagements!J300+Engagements!J330+Engagements!J459</f>
        <v>78454.05</v>
      </c>
      <c r="K132" s="62" t="n">
        <f aca="false">Engagements!K300+Engagements!K330+Engagements!K459</f>
        <v>0</v>
      </c>
      <c r="L132" s="62" t="n">
        <f aca="false">Engagements!L300+Engagements!L330+Engagements!L459</f>
        <v>0</v>
      </c>
      <c r="M132" s="62" t="n">
        <f aca="false">Engagements!M300+Engagements!M330+Engagements!M459</f>
        <v>69582.2148274649</v>
      </c>
      <c r="N132" s="62" t="n">
        <f aca="false">Engagements!N300+Engagements!N330+Engagements!N459</f>
        <v>67032.0812997568</v>
      </c>
      <c r="O132" s="62" t="n">
        <f aca="false">Engagements!O300+Engagements!O330+Engagements!O459</f>
        <v>66303.4717204116</v>
      </c>
      <c r="P132" s="62" t="n">
        <f aca="false">Engagements!P300+Engagements!P330+Engagements!P459</f>
        <v>68124.9956687746</v>
      </c>
      <c r="Q132" s="62" t="n">
        <f aca="false">Engagements!Q300+Engagements!Q330+Engagements!Q459</f>
        <v>60589.2300043255</v>
      </c>
      <c r="R132" s="62" t="n">
        <f aca="false">Engagements!R300+Engagements!R330+Engagements!R459</f>
        <v>59303.0027233979</v>
      </c>
      <c r="S132" s="62" t="n">
        <f aca="false">Engagements!S300+Engagements!S330+Engagements!S459</f>
        <v>12718.5628742515</v>
      </c>
      <c r="T132" s="62" t="n">
        <f aca="false">Engagements!T300+Engagements!T330+Engagements!T459</f>
        <v>5335.32934131736</v>
      </c>
      <c r="U132" s="62" t="n">
        <f aca="false">Engagements!U300+Engagements!U330+Engagements!U459</f>
        <v>0</v>
      </c>
      <c r="V132" s="62" t="n">
        <f aca="false">Engagements!V300+Engagements!V330+Engagements!V459</f>
        <v>0</v>
      </c>
      <c r="W132" s="62" t="n">
        <f aca="false">Engagements!W300+Engagements!W330+Engagements!W459</f>
        <v>0</v>
      </c>
      <c r="X132" s="62" t="n">
        <f aca="false">Engagements!X300+Engagements!X330+Engagements!X459</f>
        <v>0</v>
      </c>
      <c r="Y132" s="62" t="n">
        <f aca="false">Engagements!Y300+Engagements!Y330+Engagements!Y459</f>
        <v>0</v>
      </c>
      <c r="Z132" s="62" t="n">
        <f aca="false">Engagements!Z300+Engagements!Z330+Engagements!Z459</f>
        <v>0</v>
      </c>
      <c r="AA132" s="62" t="n">
        <f aca="false">Engagements!AA300+Engagements!AA330+Engagements!AA459</f>
        <v>0</v>
      </c>
      <c r="AB132" s="62" t="n">
        <f aca="false">Engagements!AB300+Engagements!AB330+Engagements!AB459</f>
        <v>0</v>
      </c>
    </row>
    <row r="134" customFormat="false" ht="15" hidden="false" customHeight="false" outlineLevel="0" collapsed="false">
      <c r="A134" s="23" t="s">
        <v>966</v>
      </c>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row>
    <row r="135" customFormat="false" ht="15" hidden="false" customHeight="false" outlineLevel="0" collapsed="false">
      <c r="A135" s="29" t="s">
        <v>679</v>
      </c>
      <c r="B135" s="60" t="s">
        <v>51</v>
      </c>
      <c r="C135" s="61" t="n">
        <f aca="false">SUM(E135:P135)</f>
        <v>187820.36</v>
      </c>
      <c r="D135" s="61" t="n">
        <f aca="false">SUM(Q135:AB135)</f>
        <v>0</v>
      </c>
      <c r="E135" s="62" t="n">
        <f aca="false">Engagements!E123</f>
        <v>31876.75</v>
      </c>
      <c r="F135" s="62" t="n">
        <f aca="false">Engagements!F123</f>
        <v>32070.05</v>
      </c>
      <c r="G135" s="62" t="n">
        <f aca="false">Engagements!G123</f>
        <v>33659.41</v>
      </c>
      <c r="H135" s="62" t="n">
        <f aca="false">Engagements!H123</f>
        <v>31861.28</v>
      </c>
      <c r="I135" s="62" t="n">
        <f aca="false">Engagements!I123</f>
        <v>26343.91</v>
      </c>
      <c r="J135" s="62" t="n">
        <f aca="false">Engagements!J123</f>
        <v>32008.96</v>
      </c>
      <c r="K135" s="62" t="n">
        <f aca="false">Engagements!K123</f>
        <v>0</v>
      </c>
      <c r="L135" s="62" t="n">
        <f aca="false">Engagements!L123</f>
        <v>0</v>
      </c>
      <c r="M135" s="62" t="n">
        <f aca="false">Engagements!M123</f>
        <v>0</v>
      </c>
      <c r="N135" s="62" t="n">
        <f aca="false">Engagements!N123</f>
        <v>0</v>
      </c>
      <c r="O135" s="62" t="n">
        <f aca="false">Engagements!O123</f>
        <v>0</v>
      </c>
      <c r="P135" s="62" t="n">
        <f aca="false">Engagements!P123</f>
        <v>0</v>
      </c>
      <c r="Q135" s="62" t="n">
        <f aca="false">Engagements!Q123</f>
        <v>0</v>
      </c>
      <c r="R135" s="62" t="n">
        <f aca="false">Engagements!R123</f>
        <v>0</v>
      </c>
      <c r="S135" s="62" t="n">
        <f aca="false">Engagements!S123</f>
        <v>0</v>
      </c>
      <c r="T135" s="62" t="n">
        <f aca="false">Engagements!T123</f>
        <v>0</v>
      </c>
      <c r="U135" s="62" t="n">
        <f aca="false">Engagements!U123</f>
        <v>0</v>
      </c>
      <c r="V135" s="62" t="n">
        <f aca="false">Engagements!V123</f>
        <v>0</v>
      </c>
      <c r="W135" s="62" t="n">
        <f aca="false">Engagements!W123</f>
        <v>0</v>
      </c>
      <c r="X135" s="62" t="n">
        <f aca="false">Engagements!X123</f>
        <v>0</v>
      </c>
      <c r="Y135" s="62" t="n">
        <f aca="false">Engagements!Y123</f>
        <v>0</v>
      </c>
      <c r="Z135" s="62" t="n">
        <f aca="false">Engagements!Z123</f>
        <v>0</v>
      </c>
      <c r="AA135" s="62" t="n">
        <f aca="false">Engagements!AA123</f>
        <v>0</v>
      </c>
      <c r="AB135" s="62" t="n">
        <f aca="false">Engagements!AB123</f>
        <v>0</v>
      </c>
    </row>
    <row r="136" customFormat="false" ht="15" hidden="false" customHeight="false" outlineLevel="0" collapsed="false">
      <c r="A136" s="29" t="s">
        <v>498</v>
      </c>
      <c r="B136" s="60" t="s">
        <v>51</v>
      </c>
      <c r="C136" s="61" t="n">
        <f aca="false">SUM(E136:P136)</f>
        <v>14576.77</v>
      </c>
      <c r="D136" s="61" t="n">
        <f aca="false">SUM(Q136:AB136)</f>
        <v>0</v>
      </c>
      <c r="E136" s="62" t="n">
        <f aca="false">Engagements!E127</f>
        <v>2151.07</v>
      </c>
      <c r="F136" s="62" t="n">
        <f aca="false">Engagements!F127</f>
        <v>2327.79</v>
      </c>
      <c r="G136" s="62" t="n">
        <f aca="false">Engagements!G127</f>
        <v>2813.79</v>
      </c>
      <c r="H136" s="62" t="n">
        <f aca="false">Engagements!H127</f>
        <v>3083.92</v>
      </c>
      <c r="I136" s="62" t="n">
        <f aca="false">Engagements!I127</f>
        <v>1941</v>
      </c>
      <c r="J136" s="62" t="n">
        <f aca="false">Engagements!J127</f>
        <v>2259.2</v>
      </c>
      <c r="K136" s="62" t="n">
        <f aca="false">Engagements!K127</f>
        <v>0</v>
      </c>
      <c r="L136" s="62" t="n">
        <f aca="false">Engagements!L127</f>
        <v>0</v>
      </c>
      <c r="M136" s="62" t="n">
        <f aca="false">Engagements!M127</f>
        <v>0</v>
      </c>
      <c r="N136" s="62" t="n">
        <f aca="false">Engagements!N127</f>
        <v>0</v>
      </c>
      <c r="O136" s="62" t="n">
        <f aca="false">Engagements!O127</f>
        <v>0</v>
      </c>
      <c r="P136" s="62" t="n">
        <f aca="false">Engagements!P127</f>
        <v>0</v>
      </c>
      <c r="Q136" s="62" t="n">
        <f aca="false">Engagements!Q127</f>
        <v>0</v>
      </c>
      <c r="R136" s="62" t="n">
        <f aca="false">Engagements!R127</f>
        <v>0</v>
      </c>
      <c r="S136" s="62" t="n">
        <f aca="false">Engagements!S127</f>
        <v>0</v>
      </c>
      <c r="T136" s="62" t="n">
        <f aca="false">Engagements!T127</f>
        <v>0</v>
      </c>
      <c r="U136" s="62" t="n">
        <f aca="false">Engagements!U127</f>
        <v>0</v>
      </c>
      <c r="V136" s="62" t="n">
        <f aca="false">Engagements!V127</f>
        <v>0</v>
      </c>
      <c r="W136" s="62" t="n">
        <f aca="false">Engagements!W127</f>
        <v>0</v>
      </c>
      <c r="X136" s="62" t="n">
        <f aca="false">Engagements!X127</f>
        <v>0</v>
      </c>
      <c r="Y136" s="62" t="n">
        <f aca="false">Engagements!Y127</f>
        <v>0</v>
      </c>
      <c r="Z136" s="62" t="n">
        <f aca="false">Engagements!Z127</f>
        <v>0</v>
      </c>
      <c r="AA136" s="62" t="n">
        <f aca="false">Engagements!AA127</f>
        <v>0</v>
      </c>
      <c r="AB136" s="62" t="n">
        <f aca="false">Engagements!AB127</f>
        <v>0</v>
      </c>
    </row>
    <row r="137" customFormat="false" ht="15" hidden="false" customHeight="false" outlineLevel="0" collapsed="false">
      <c r="A137" s="68" t="s">
        <v>351</v>
      </c>
      <c r="B137" s="69"/>
      <c r="C137" s="70" t="n">
        <f aca="false">SUM(E137:P137)</f>
        <v>202397.13</v>
      </c>
      <c r="D137" s="70" t="n">
        <f aca="false">SUM(Q137:AB137)</f>
        <v>0</v>
      </c>
      <c r="E137" s="70" t="n">
        <f aca="false">E135+E136</f>
        <v>34027.82</v>
      </c>
      <c r="F137" s="70" t="n">
        <f aca="false">F135+F136</f>
        <v>34397.84</v>
      </c>
      <c r="G137" s="70" t="n">
        <f aca="false">G135+G136</f>
        <v>36473.2</v>
      </c>
      <c r="H137" s="70" t="n">
        <f aca="false">H135+H136</f>
        <v>34945.2</v>
      </c>
      <c r="I137" s="70" t="n">
        <f aca="false">I135+I136</f>
        <v>28284.91</v>
      </c>
      <c r="J137" s="70" t="n">
        <f aca="false">J135+J136</f>
        <v>34268.16</v>
      </c>
      <c r="K137" s="70" t="n">
        <f aca="false">K135+K136</f>
        <v>0</v>
      </c>
      <c r="L137" s="70" t="n">
        <f aca="false">L135+L136</f>
        <v>0</v>
      </c>
      <c r="M137" s="70" t="n">
        <f aca="false">M135+M136</f>
        <v>0</v>
      </c>
      <c r="N137" s="70" t="n">
        <f aca="false">N135+N136</f>
        <v>0</v>
      </c>
      <c r="O137" s="70" t="n">
        <f aca="false">O135+O136</f>
        <v>0</v>
      </c>
      <c r="P137" s="70" t="n">
        <f aca="false">P135+P136</f>
        <v>0</v>
      </c>
      <c r="Q137" s="70" t="n">
        <f aca="false">Q135+Q136</f>
        <v>0</v>
      </c>
      <c r="R137" s="70" t="n">
        <f aca="false">R135+R136</f>
        <v>0</v>
      </c>
      <c r="S137" s="70" t="n">
        <f aca="false">S135+S136</f>
        <v>0</v>
      </c>
      <c r="T137" s="70" t="n">
        <f aca="false">T135+T136</f>
        <v>0</v>
      </c>
      <c r="U137" s="70" t="n">
        <f aca="false">U135+U136</f>
        <v>0</v>
      </c>
      <c r="V137" s="70" t="n">
        <f aca="false">V135+V136</f>
        <v>0</v>
      </c>
      <c r="W137" s="70" t="n">
        <f aca="false">W135+W136</f>
        <v>0</v>
      </c>
      <c r="X137" s="70" t="n">
        <f aca="false">X135+X136</f>
        <v>0</v>
      </c>
      <c r="Y137" s="70" t="n">
        <f aca="false">Y135+Y136</f>
        <v>0</v>
      </c>
      <c r="Z137" s="70" t="n">
        <f aca="false">Z135+Z136</f>
        <v>0</v>
      </c>
      <c r="AA137" s="70" t="n">
        <f aca="false">AA135+AA136</f>
        <v>0</v>
      </c>
      <c r="AB137" s="70" t="n">
        <f aca="false">AB135+AB136</f>
        <v>0</v>
      </c>
    </row>
    <row r="138" customFormat="false" ht="15" hidden="false" customHeight="false" outlineLevel="0" collapsed="false">
      <c r="A138" s="29" t="s">
        <v>901</v>
      </c>
      <c r="B138" s="60" t="s">
        <v>51</v>
      </c>
      <c r="C138" s="66" t="n">
        <f aca="false">SUM(E138:P138)</f>
        <v>1212.2</v>
      </c>
      <c r="D138" s="66" t="n">
        <f aca="false">SUM(Q138:AB138)</f>
        <v>0</v>
      </c>
      <c r="E138" s="67" t="n">
        <f aca="false">Engagements!E14</f>
        <v>190.3</v>
      </c>
      <c r="F138" s="67" t="n">
        <f aca="false">Engagements!F14</f>
        <v>196.3</v>
      </c>
      <c r="G138" s="67" t="n">
        <f aca="false">Engagements!G14</f>
        <v>199.6</v>
      </c>
      <c r="H138" s="67" t="n">
        <f aca="false">Engagements!H14</f>
        <v>187</v>
      </c>
      <c r="I138" s="67" t="n">
        <f aca="false">Engagements!I14</f>
        <v>156.6</v>
      </c>
      <c r="J138" s="67" t="n">
        <f aca="false">Engagements!J14</f>
        <v>196.9</v>
      </c>
      <c r="K138" s="67" t="n">
        <f aca="false">Engagements!K14</f>
        <v>85.5</v>
      </c>
      <c r="L138" s="67" t="n">
        <f aca="false">Engagements!L14</f>
        <v>0</v>
      </c>
      <c r="M138" s="67" t="n">
        <f aca="false">Engagements!M14</f>
        <v>0</v>
      </c>
      <c r="N138" s="67" t="n">
        <f aca="false">Engagements!N14</f>
        <v>0</v>
      </c>
      <c r="O138" s="67" t="n">
        <f aca="false">Engagements!O14</f>
        <v>0</v>
      </c>
      <c r="P138" s="67" t="n">
        <f aca="false">Engagements!P14</f>
        <v>0</v>
      </c>
      <c r="Q138" s="67" t="n">
        <f aca="false">Engagements!Q14</f>
        <v>0</v>
      </c>
      <c r="R138" s="67" t="n">
        <f aca="false">Engagements!R14</f>
        <v>0</v>
      </c>
      <c r="S138" s="67" t="n">
        <f aca="false">Engagements!S14</f>
        <v>0</v>
      </c>
      <c r="T138" s="67" t="n">
        <f aca="false">Engagements!T14</f>
        <v>0</v>
      </c>
      <c r="U138" s="67" t="n">
        <f aca="false">Engagements!U14</f>
        <v>0</v>
      </c>
      <c r="V138" s="67" t="n">
        <f aca="false">Engagements!V14</f>
        <v>0</v>
      </c>
      <c r="W138" s="67" t="n">
        <f aca="false">Engagements!W14</f>
        <v>0</v>
      </c>
      <c r="X138" s="67" t="n">
        <f aca="false">Engagements!X14</f>
        <v>0</v>
      </c>
      <c r="Y138" s="67" t="n">
        <f aca="false">Engagements!Y14</f>
        <v>0</v>
      </c>
      <c r="Z138" s="67" t="n">
        <f aca="false">Engagements!Z14</f>
        <v>0</v>
      </c>
      <c r="AA138" s="67" t="n">
        <f aca="false">Engagements!AA14</f>
        <v>0</v>
      </c>
      <c r="AB138" s="67" t="n">
        <f aca="false">Engagements!AB14</f>
        <v>0</v>
      </c>
    </row>
    <row r="139" customFormat="false" ht="15" hidden="false" customHeight="false" outlineLevel="0" collapsed="false">
      <c r="A139" s="29" t="s">
        <v>833</v>
      </c>
      <c r="B139" s="60" t="s">
        <v>51</v>
      </c>
      <c r="C139" s="61" t="n">
        <f aca="false">SUM(E139:P139)</f>
        <v>238439.74</v>
      </c>
      <c r="D139" s="61" t="n">
        <f aca="false">SUM(Q139:AB139)</f>
        <v>0</v>
      </c>
      <c r="E139" s="62" t="n">
        <f aca="false">Engagements!E121</f>
        <v>37432.01</v>
      </c>
      <c r="F139" s="62" t="n">
        <f aca="false">Engagements!F121</f>
        <v>38612.21</v>
      </c>
      <c r="G139" s="62" t="n">
        <f aca="false">Engagements!G121</f>
        <v>39261.32</v>
      </c>
      <c r="H139" s="62" t="n">
        <f aca="false">Engagements!H121</f>
        <v>36782.9</v>
      </c>
      <c r="I139" s="62" t="n">
        <f aca="false">Engagements!I121</f>
        <v>30803.22</v>
      </c>
      <c r="J139" s="62" t="n">
        <f aca="false">Engagements!J121</f>
        <v>38730.23</v>
      </c>
      <c r="K139" s="62" t="n">
        <f aca="false">Engagements!K121</f>
        <v>16817.85</v>
      </c>
      <c r="L139" s="62" t="n">
        <f aca="false">Engagements!L121</f>
        <v>0</v>
      </c>
      <c r="M139" s="62" t="n">
        <f aca="false">Engagements!M121</f>
        <v>0</v>
      </c>
      <c r="N139" s="62" t="n">
        <f aca="false">Engagements!N121</f>
        <v>0</v>
      </c>
      <c r="O139" s="62" t="n">
        <f aca="false">Engagements!O121</f>
        <v>0</v>
      </c>
      <c r="P139" s="62" t="n">
        <f aca="false">Engagements!P121</f>
        <v>0</v>
      </c>
      <c r="Q139" s="62" t="n">
        <f aca="false">Engagements!Q121</f>
        <v>0</v>
      </c>
      <c r="R139" s="62" t="n">
        <f aca="false">Engagements!R121</f>
        <v>0</v>
      </c>
      <c r="S139" s="62" t="n">
        <f aca="false">Engagements!S121</f>
        <v>0</v>
      </c>
      <c r="T139" s="62" t="n">
        <f aca="false">Engagements!T121</f>
        <v>0</v>
      </c>
      <c r="U139" s="62" t="n">
        <f aca="false">Engagements!U121</f>
        <v>0</v>
      </c>
      <c r="V139" s="62" t="n">
        <f aca="false">Engagements!V121</f>
        <v>0</v>
      </c>
      <c r="W139" s="62" t="n">
        <f aca="false">Engagements!W121</f>
        <v>0</v>
      </c>
      <c r="X139" s="62" t="n">
        <f aca="false">Engagements!X121</f>
        <v>0</v>
      </c>
      <c r="Y139" s="62" t="n">
        <f aca="false">Engagements!Y121</f>
        <v>0</v>
      </c>
      <c r="Z139" s="62" t="n">
        <f aca="false">Engagements!Z121</f>
        <v>0</v>
      </c>
      <c r="AA139" s="62" t="n">
        <f aca="false">Engagements!AA121</f>
        <v>0</v>
      </c>
      <c r="AB139" s="62" t="n">
        <f aca="false">Engagements!AB121</f>
        <v>0</v>
      </c>
    </row>
    <row r="140" customFormat="false" ht="15" hidden="false" customHeight="false" outlineLevel="0" collapsed="false">
      <c r="A140" s="29" t="s">
        <v>716</v>
      </c>
      <c r="B140" s="60" t="s">
        <v>51</v>
      </c>
      <c r="C140" s="61" t="n">
        <f aca="false">SUM(E140:P140)</f>
        <v>236139.48</v>
      </c>
      <c r="D140" s="61" t="n">
        <f aca="false">SUM(Q140:AB140)</f>
        <v>0</v>
      </c>
      <c r="E140" s="62" t="n">
        <f aca="false">Engagements!E124+Engagements!E128</f>
        <v>33742.35</v>
      </c>
      <c r="F140" s="62" t="n">
        <f aca="false">Engagements!F124+Engagements!F128</f>
        <v>34027.82</v>
      </c>
      <c r="G140" s="62" t="n">
        <f aca="false">Engagements!G124+Engagements!G128</f>
        <v>34397.84</v>
      </c>
      <c r="H140" s="62" t="n">
        <f aca="false">Engagements!H124+Engagements!H128</f>
        <v>36473.2</v>
      </c>
      <c r="I140" s="62" t="n">
        <f aca="false">Engagements!I124+Engagements!I128</f>
        <v>34945.2</v>
      </c>
      <c r="J140" s="62" t="n">
        <f aca="false">Engagements!J124+Engagements!J128</f>
        <v>28284.91</v>
      </c>
      <c r="K140" s="62" t="n">
        <f aca="false">Engagements!K124+Engagements!K128</f>
        <v>34268.16</v>
      </c>
      <c r="L140" s="62" t="n">
        <f aca="false">Engagements!L124+Engagements!L128</f>
        <v>0</v>
      </c>
      <c r="M140" s="62" t="n">
        <f aca="false">Engagements!M124+Engagements!M128</f>
        <v>0</v>
      </c>
      <c r="N140" s="62" t="n">
        <f aca="false">Engagements!N124+Engagements!N128</f>
        <v>0</v>
      </c>
      <c r="O140" s="62" t="n">
        <f aca="false">Engagements!O124+Engagements!O128</f>
        <v>0</v>
      </c>
      <c r="P140" s="62" t="n">
        <f aca="false">Engagements!P124+Engagements!P128</f>
        <v>0</v>
      </c>
      <c r="Q140" s="62" t="n">
        <f aca="false">Engagements!Q124+Engagements!Q128</f>
        <v>0</v>
      </c>
      <c r="R140" s="62" t="n">
        <f aca="false">Engagements!R124+Engagements!R128</f>
        <v>0</v>
      </c>
      <c r="S140" s="62" t="n">
        <f aca="false">Engagements!S124+Engagements!S128</f>
        <v>0</v>
      </c>
      <c r="T140" s="62" t="n">
        <f aca="false">Engagements!T124+Engagements!T128</f>
        <v>0</v>
      </c>
      <c r="U140" s="62" t="n">
        <f aca="false">Engagements!U124+Engagements!U128</f>
        <v>0</v>
      </c>
      <c r="V140" s="62" t="n">
        <f aca="false">Engagements!V124+Engagements!V128</f>
        <v>0</v>
      </c>
      <c r="W140" s="62" t="n">
        <f aca="false">Engagements!W124+Engagements!W128</f>
        <v>0</v>
      </c>
      <c r="X140" s="62" t="n">
        <f aca="false">Engagements!X124+Engagements!X128</f>
        <v>0</v>
      </c>
      <c r="Y140" s="62" t="n">
        <f aca="false">Engagements!Y124+Engagements!Y128</f>
        <v>0</v>
      </c>
      <c r="Z140" s="62" t="n">
        <f aca="false">Engagements!Z124+Engagements!Z128</f>
        <v>0</v>
      </c>
      <c r="AA140" s="62" t="n">
        <f aca="false">Engagements!AA124+Engagements!AA128</f>
        <v>0</v>
      </c>
      <c r="AB140" s="62" t="n">
        <f aca="false">Engagements!AB124+Engagements!AB128</f>
        <v>0</v>
      </c>
    </row>
    <row r="141" customFormat="false" ht="15" hidden="false" customHeight="false" outlineLevel="0" collapsed="false">
      <c r="A141" s="29" t="s">
        <v>949</v>
      </c>
      <c r="B141" s="60" t="s">
        <v>950</v>
      </c>
      <c r="C141" s="61" t="n">
        <f aca="false">SUM(E141:P141)</f>
        <v>44866.5012</v>
      </c>
      <c r="D141" s="61" t="n">
        <f aca="false">SUM(Q141:AB141)</f>
        <v>0</v>
      </c>
      <c r="E141" s="62" t="n">
        <f aca="false">E140*Client_Register!$E$16</f>
        <v>6411.0465</v>
      </c>
      <c r="F141" s="62" t="n">
        <f aca="false">F140*Client_Register!$E$16</f>
        <v>6465.2858</v>
      </c>
      <c r="G141" s="62" t="n">
        <f aca="false">G140*Client_Register!$E$16</f>
        <v>6535.5896</v>
      </c>
      <c r="H141" s="62" t="n">
        <f aca="false">H140*Client_Register!$E$16</f>
        <v>6929.908</v>
      </c>
      <c r="I141" s="62" t="n">
        <f aca="false">I140*Client_Register!$E$16</f>
        <v>6639.588</v>
      </c>
      <c r="J141" s="62" t="n">
        <f aca="false">J140*Client_Register!$E$16</f>
        <v>5374.1329</v>
      </c>
      <c r="K141" s="62" t="n">
        <f aca="false">K140*Client_Register!$E$16</f>
        <v>6510.9504</v>
      </c>
      <c r="L141" s="62" t="n">
        <f aca="false">L140*Client_Register!$E$16</f>
        <v>0</v>
      </c>
      <c r="M141" s="62" t="n">
        <f aca="false">M140*Client_Register!$E$16</f>
        <v>0</v>
      </c>
      <c r="N141" s="62" t="n">
        <f aca="false">N140*Client_Register!$E$16</f>
        <v>0</v>
      </c>
      <c r="O141" s="62" t="n">
        <f aca="false">O140*Client_Register!$E$16</f>
        <v>0</v>
      </c>
      <c r="P141" s="62" t="n">
        <f aca="false">P140*Client_Register!$E$16</f>
        <v>0</v>
      </c>
      <c r="Q141" s="62" t="n">
        <f aca="false">Q140*Client_Register!$E$16</f>
        <v>0</v>
      </c>
      <c r="R141" s="62" t="n">
        <f aca="false">R140*Client_Register!$E$16</f>
        <v>0</v>
      </c>
      <c r="S141" s="62" t="n">
        <f aca="false">S140*Client_Register!$E$16</f>
        <v>0</v>
      </c>
      <c r="T141" s="62" t="n">
        <f aca="false">T140*Client_Register!$E$16</f>
        <v>0</v>
      </c>
      <c r="U141" s="62" t="n">
        <f aca="false">U140*Client_Register!$E$16</f>
        <v>0</v>
      </c>
      <c r="V141" s="62" t="n">
        <f aca="false">V140*Client_Register!$E$16</f>
        <v>0</v>
      </c>
      <c r="W141" s="62" t="n">
        <f aca="false">W140*Client_Register!$E$16</f>
        <v>0</v>
      </c>
      <c r="X141" s="62" t="n">
        <f aca="false">X140*Client_Register!$E$16</f>
        <v>0</v>
      </c>
      <c r="Y141" s="62" t="n">
        <f aca="false">Y140*Client_Register!$E$16</f>
        <v>0</v>
      </c>
      <c r="Z141" s="62" t="n">
        <f aca="false">Z140*Client_Register!$E$16</f>
        <v>0</v>
      </c>
      <c r="AA141" s="62" t="n">
        <f aca="false">AA140*Client_Register!$E$16</f>
        <v>0</v>
      </c>
      <c r="AB141" s="62" t="n">
        <f aca="false">AB140*Client_Register!$E$16</f>
        <v>0</v>
      </c>
    </row>
    <row r="142" customFormat="false" ht="15" hidden="false" customHeight="false" outlineLevel="0" collapsed="false">
      <c r="A142" s="68" t="s">
        <v>951</v>
      </c>
      <c r="B142" s="69"/>
      <c r="C142" s="70" t="n">
        <f aca="false">SUM(E142:P142)</f>
        <v>281005.9812</v>
      </c>
      <c r="D142" s="70" t="n">
        <f aca="false">SUM(Q142:AB142)</f>
        <v>0</v>
      </c>
      <c r="E142" s="70" t="n">
        <f aca="false">E140+E141</f>
        <v>40153.3965</v>
      </c>
      <c r="F142" s="70" t="n">
        <f aca="false">F140+F141</f>
        <v>40493.1058</v>
      </c>
      <c r="G142" s="70" t="n">
        <f aca="false">G140+G141</f>
        <v>40933.4296</v>
      </c>
      <c r="H142" s="70" t="n">
        <f aca="false">H140+H141</f>
        <v>43403.108</v>
      </c>
      <c r="I142" s="70" t="n">
        <f aca="false">I140+I141</f>
        <v>41584.788</v>
      </c>
      <c r="J142" s="70" t="n">
        <f aca="false">J140+J141</f>
        <v>33659.0429</v>
      </c>
      <c r="K142" s="70" t="n">
        <f aca="false">K140+K141</f>
        <v>40779.1104</v>
      </c>
      <c r="L142" s="70" t="n">
        <f aca="false">L140+L141</f>
        <v>0</v>
      </c>
      <c r="M142" s="70" t="n">
        <f aca="false">M140+M141</f>
        <v>0</v>
      </c>
      <c r="N142" s="70" t="n">
        <f aca="false">N140+N141</f>
        <v>0</v>
      </c>
      <c r="O142" s="70" t="n">
        <f aca="false">O140+O141</f>
        <v>0</v>
      </c>
      <c r="P142" s="70" t="n">
        <f aca="false">P140+P141</f>
        <v>0</v>
      </c>
      <c r="Q142" s="70" t="n">
        <f aca="false">Q140+Q141</f>
        <v>0</v>
      </c>
      <c r="R142" s="70" t="n">
        <f aca="false">R140+R141</f>
        <v>0</v>
      </c>
      <c r="S142" s="70" t="n">
        <f aca="false">S140+S141</f>
        <v>0</v>
      </c>
      <c r="T142" s="70" t="n">
        <f aca="false">T140+T141</f>
        <v>0</v>
      </c>
      <c r="U142" s="70" t="n">
        <f aca="false">U140+U141</f>
        <v>0</v>
      </c>
      <c r="V142" s="70" t="n">
        <f aca="false">V140+V141</f>
        <v>0</v>
      </c>
      <c r="W142" s="70" t="n">
        <f aca="false">W140+W141</f>
        <v>0</v>
      </c>
      <c r="X142" s="70" t="n">
        <f aca="false">X140+X141</f>
        <v>0</v>
      </c>
      <c r="Y142" s="70" t="n">
        <f aca="false">Y140+Y141</f>
        <v>0</v>
      </c>
      <c r="Z142" s="70" t="n">
        <f aca="false">Z140+Z141</f>
        <v>0</v>
      </c>
      <c r="AA142" s="70" t="n">
        <f aca="false">AA140+AA141</f>
        <v>0</v>
      </c>
      <c r="AB142" s="70" t="n">
        <f aca="false">AB140+AB141</f>
        <v>0</v>
      </c>
    </row>
    <row r="143" customFormat="false" ht="15" hidden="false" customHeight="false" outlineLevel="0" collapsed="false">
      <c r="A143" s="29" t="s">
        <v>967</v>
      </c>
      <c r="B143" s="60" t="s">
        <v>968</v>
      </c>
      <c r="C143" s="61" t="n">
        <f aca="false">SUM(E143:P143)</f>
        <v>23376.93</v>
      </c>
      <c r="D143" s="61" t="n">
        <f aca="false">SUM(Q143:AB143)</f>
        <v>0</v>
      </c>
      <c r="E143" s="62" t="n">
        <f aca="false">IF(E$5="A",Inputs_Actuals!E116,0)</f>
        <v>0</v>
      </c>
      <c r="F143" s="62" t="n">
        <f aca="false">IF(F$5="A",Inputs_Actuals!F116,0)</f>
        <v>0</v>
      </c>
      <c r="G143" s="62" t="n">
        <f aca="false">IF(G$5="A",Inputs_Actuals!G116,0)</f>
        <v>0</v>
      </c>
      <c r="H143" s="62" t="n">
        <f aca="false">IF(H$5="A",Inputs_Actuals!H116,0)</f>
        <v>0</v>
      </c>
      <c r="I143" s="62" t="n">
        <f aca="false">IF(I$5="A",Inputs_Actuals!I116,0)</f>
        <v>0</v>
      </c>
      <c r="J143" s="62" t="n">
        <f aca="false">IF(J$5="A",Inputs_Actuals!J116,0)</f>
        <v>0</v>
      </c>
      <c r="K143" s="62" t="n">
        <f aca="false">IF(K$5="A",Inputs_Actuals!K116,0)</f>
        <v>23376.93</v>
      </c>
      <c r="L143" s="62" t="n">
        <f aca="false">IF(L$5="A",Inputs_Actuals!L116,0)</f>
        <v>0</v>
      </c>
      <c r="M143" s="62" t="n">
        <f aca="false">IF(M$5="A",Inputs_Actuals!M116,0)</f>
        <v>0</v>
      </c>
      <c r="N143" s="62" t="n">
        <f aca="false">IF(N$5="A",Inputs_Actuals!N116,0)</f>
        <v>0</v>
      </c>
      <c r="O143" s="62" t="n">
        <f aca="false">IF(O$5="A",Inputs_Actuals!O116,0)</f>
        <v>0</v>
      </c>
      <c r="P143" s="62" t="n">
        <f aca="false">IF(P$5="A",Inputs_Actuals!P116,0)</f>
        <v>0</v>
      </c>
      <c r="Q143" s="62" t="n">
        <f aca="false">IF(Q$5="A",Inputs_Actuals!Q116,0)</f>
        <v>0</v>
      </c>
      <c r="R143" s="62" t="n">
        <f aca="false">IF(R$5="A",Inputs_Actuals!R116,0)</f>
        <v>0</v>
      </c>
      <c r="S143" s="62" t="n">
        <f aca="false">IF(S$5="A",Inputs_Actuals!S116,0)</f>
        <v>0</v>
      </c>
      <c r="T143" s="62" t="n">
        <f aca="false">IF(T$5="A",Inputs_Actuals!T116,0)</f>
        <v>0</v>
      </c>
      <c r="U143" s="62" t="n">
        <f aca="false">IF(U$5="A",Inputs_Actuals!U116,0)</f>
        <v>0</v>
      </c>
      <c r="V143" s="62" t="n">
        <f aca="false">IF(V$5="A",Inputs_Actuals!V116,0)</f>
        <v>0</v>
      </c>
      <c r="W143" s="62" t="n">
        <f aca="false">IF(W$5="A",Inputs_Actuals!W116,0)</f>
        <v>0</v>
      </c>
      <c r="X143" s="62" t="n">
        <f aca="false">IF(X$5="A",Inputs_Actuals!X116,0)</f>
        <v>0</v>
      </c>
      <c r="Y143" s="62" t="n">
        <f aca="false">IF(Y$5="A",Inputs_Actuals!Y116,0)</f>
        <v>0</v>
      </c>
      <c r="Z143" s="62" t="n">
        <f aca="false">IF(Z$5="A",Inputs_Actuals!Z116,0)</f>
        <v>0</v>
      </c>
      <c r="AA143" s="62" t="n">
        <f aca="false">IF(AA$5="A",Inputs_Actuals!AA116,0)</f>
        <v>0</v>
      </c>
      <c r="AB143" s="62" t="n">
        <f aca="false">IF(AB$5="A",Inputs_Actuals!AB116,0)</f>
        <v>0</v>
      </c>
    </row>
    <row r="144" customFormat="false" ht="15" hidden="false" customHeight="false" outlineLevel="0" collapsed="false">
      <c r="A144" s="29" t="s">
        <v>952</v>
      </c>
      <c r="B144" s="60" t="s">
        <v>969</v>
      </c>
      <c r="C144" s="61" t="n">
        <f aca="false">SUM(E144:P144)</f>
        <v>134592.59</v>
      </c>
      <c r="D144" s="61" t="n">
        <f aca="false">SUM(Q144:AB144)</f>
        <v>0</v>
      </c>
      <c r="E144" s="62" t="n">
        <f aca="false">IF(E$5="A",Inputs_Actuals!E113,0)</f>
        <v>4076.59</v>
      </c>
      <c r="F144" s="62" t="n">
        <f aca="false">IF(F$5="A",Inputs_Actuals!F113,0)</f>
        <v>17472.59</v>
      </c>
      <c r="G144" s="62" t="n">
        <f aca="false">IF(G$5="A",Inputs_Actuals!G113,0)</f>
        <v>39007.52</v>
      </c>
      <c r="H144" s="62" t="n">
        <f aca="false">IF(H$5="A",Inputs_Actuals!H113,0)</f>
        <v>41289.15</v>
      </c>
      <c r="I144" s="62" t="n">
        <f aca="false">IF(I$5="A",Inputs_Actuals!I113,0)</f>
        <v>32746.74</v>
      </c>
      <c r="J144" s="62" t="n">
        <f aca="false">IF(J$5="A",Inputs_Actuals!J113,0)</f>
        <v>0</v>
      </c>
      <c r="K144" s="62" t="n">
        <f aca="false">IF(K$5="A",Inputs_Actuals!K113,0)</f>
        <v>0</v>
      </c>
      <c r="L144" s="62" t="n">
        <f aca="false">IF(L$5="A",Inputs_Actuals!L113,0)</f>
        <v>0</v>
      </c>
      <c r="M144" s="62" t="n">
        <f aca="false">IF(M$5="A",Inputs_Actuals!M113,0)</f>
        <v>0</v>
      </c>
      <c r="N144" s="62" t="n">
        <f aca="false">IF(N$5="A",Inputs_Actuals!N113,0)</f>
        <v>0</v>
      </c>
      <c r="O144" s="62" t="n">
        <f aca="false">IF(O$5="A",Inputs_Actuals!O113,0)</f>
        <v>0</v>
      </c>
      <c r="P144" s="62" t="n">
        <f aca="false">IF(P$5="A",Inputs_Actuals!P113,0)</f>
        <v>0</v>
      </c>
      <c r="Q144" s="62" t="n">
        <f aca="false">IF(Q$5="A",Inputs_Actuals!Q113,0)</f>
        <v>0</v>
      </c>
      <c r="R144" s="62" t="n">
        <f aca="false">IF(R$5="A",Inputs_Actuals!R113,0)</f>
        <v>0</v>
      </c>
      <c r="S144" s="62" t="n">
        <f aca="false">IF(S$5="A",Inputs_Actuals!S113,0)</f>
        <v>0</v>
      </c>
      <c r="T144" s="62" t="n">
        <f aca="false">IF(T$5="A",Inputs_Actuals!T113,0)</f>
        <v>0</v>
      </c>
      <c r="U144" s="62" t="n">
        <f aca="false">IF(U$5="A",Inputs_Actuals!U113,0)</f>
        <v>0</v>
      </c>
      <c r="V144" s="62" t="n">
        <f aca="false">IF(V$5="A",Inputs_Actuals!V113,0)</f>
        <v>0</v>
      </c>
      <c r="W144" s="62" t="n">
        <f aca="false">IF(W$5="A",Inputs_Actuals!W113,0)</f>
        <v>0</v>
      </c>
      <c r="X144" s="62" t="n">
        <f aca="false">IF(X$5="A",Inputs_Actuals!X113,0)</f>
        <v>0</v>
      </c>
      <c r="Y144" s="62" t="n">
        <f aca="false">IF(Y$5="A",Inputs_Actuals!Y113,0)</f>
        <v>0</v>
      </c>
      <c r="Z144" s="62" t="n">
        <f aca="false">IF(Z$5="A",Inputs_Actuals!Z113,0)</f>
        <v>0</v>
      </c>
      <c r="AA144" s="62" t="n">
        <f aca="false">IF(AA$5="A",Inputs_Actuals!AA113,0)</f>
        <v>0</v>
      </c>
      <c r="AB144" s="62" t="n">
        <f aca="false">IF(AB$5="A",Inputs_Actuals!AB113,0)</f>
        <v>0</v>
      </c>
    </row>
    <row r="145" customFormat="false" ht="15" hidden="false" customHeight="false" outlineLevel="0" collapsed="false">
      <c r="A145" s="68" t="s">
        <v>954</v>
      </c>
      <c r="B145" s="69" t="s">
        <v>970</v>
      </c>
      <c r="C145" s="70" t="n">
        <f aca="false">P145</f>
        <v>123036.4612</v>
      </c>
      <c r="D145" s="70" t="n">
        <f aca="false">AB145</f>
        <v>123036.4612</v>
      </c>
      <c r="E145" s="74" t="n">
        <f aca="false">Client_Register!$J$16+E142-E144-E143</f>
        <v>36076.8065</v>
      </c>
      <c r="F145" s="70" t="n">
        <f aca="false">E145+F142-F144-F143</f>
        <v>59097.3223</v>
      </c>
      <c r="G145" s="70" t="n">
        <f aca="false">F145+G142-G144-G143</f>
        <v>61023.2319</v>
      </c>
      <c r="H145" s="70" t="n">
        <f aca="false">G145+H142-H144-H143</f>
        <v>63137.1899</v>
      </c>
      <c r="I145" s="70" t="n">
        <f aca="false">H145+I142-I144-I143</f>
        <v>71975.2379</v>
      </c>
      <c r="J145" s="70" t="n">
        <f aca="false">I145+J142-J144-J143</f>
        <v>105634.2808</v>
      </c>
      <c r="K145" s="70" t="n">
        <f aca="false">J145+K142-K144-K143</f>
        <v>123036.4612</v>
      </c>
      <c r="L145" s="70" t="n">
        <f aca="false">K145+L142-L144-L143</f>
        <v>123036.4612</v>
      </c>
      <c r="M145" s="70" t="n">
        <f aca="false">L145+M142-M144-M143</f>
        <v>123036.4612</v>
      </c>
      <c r="N145" s="70" t="n">
        <f aca="false">M145+N142-N144-N143</f>
        <v>123036.4612</v>
      </c>
      <c r="O145" s="70" t="n">
        <f aca="false">N145+O142-O144-O143</f>
        <v>123036.4612</v>
      </c>
      <c r="P145" s="70" t="n">
        <f aca="false">O145+P142-P144-P143</f>
        <v>123036.4612</v>
      </c>
      <c r="Q145" s="70" t="n">
        <f aca="false">P145+Q142-Q144-Q143</f>
        <v>123036.4612</v>
      </c>
      <c r="R145" s="70" t="n">
        <f aca="false">Q145+R142-R144-R143</f>
        <v>123036.4612</v>
      </c>
      <c r="S145" s="70" t="n">
        <f aca="false">R145+S142-S144-S143</f>
        <v>123036.4612</v>
      </c>
      <c r="T145" s="70" t="n">
        <f aca="false">S145+T142-T144-T143</f>
        <v>123036.4612</v>
      </c>
      <c r="U145" s="70" t="n">
        <f aca="false">T145+U142-U144-U143</f>
        <v>123036.4612</v>
      </c>
      <c r="V145" s="70" t="n">
        <f aca="false">U145+V142-V144-V143</f>
        <v>123036.4612</v>
      </c>
      <c r="W145" s="70" t="n">
        <f aca="false">V145+W142-W144-W143</f>
        <v>123036.4612</v>
      </c>
      <c r="X145" s="70" t="n">
        <f aca="false">W145+X142-X144-X143</f>
        <v>123036.4612</v>
      </c>
      <c r="Y145" s="70" t="n">
        <f aca="false">X145+Y142-Y144-Y143</f>
        <v>123036.4612</v>
      </c>
      <c r="Z145" s="70" t="n">
        <f aca="false">Y145+Z142-Z144-Z143</f>
        <v>123036.4612</v>
      </c>
      <c r="AA145" s="70" t="n">
        <f aca="false">Z145+AA142-AA144-AA143</f>
        <v>123036.4612</v>
      </c>
      <c r="AB145" s="70" t="n">
        <f aca="false">AA145+AB142-AB144-AB143</f>
        <v>123036.4612</v>
      </c>
    </row>
    <row r="146" customFormat="false" ht="15" hidden="false" customHeight="false" outlineLevel="0" collapsed="false">
      <c r="A146" s="29" t="s">
        <v>956</v>
      </c>
      <c r="B146" s="60"/>
      <c r="C146" s="66" t="n">
        <f aca="false">P146</f>
        <v>0</v>
      </c>
      <c r="D146" s="66" t="n">
        <f aca="false">AB146</f>
        <v>0</v>
      </c>
      <c r="E146" s="67" t="n">
        <f aca="false">IFERROR(E145/SUM(E142:E142)*SUM(Assumptions!E$191:E$191),0)</f>
        <v>27.8527123228542</v>
      </c>
      <c r="F146" s="67" t="n">
        <f aca="false">IFERROR(F145/SUM(E142:F142)*SUM(Assumptions!E$191:F$191),0)</f>
        <v>43.2348820625789</v>
      </c>
      <c r="G146" s="67" t="n">
        <f aca="false">IFERROR(G145/SUM(E142:G142)*SUM(Assumptions!E$191:G$191),0)</f>
        <v>45.1726759932492</v>
      </c>
      <c r="H146" s="67" t="n">
        <f aca="false">IFERROR(H145/SUM(F142:H142)*SUM(Assumptions!F$191:H$191),0)</f>
        <v>45.0150280658416</v>
      </c>
      <c r="I146" s="67" t="n">
        <f aca="false">IFERROR(I145/SUM(G142:I142)*SUM(Assumptions!G$191:I$191),0)</f>
        <v>52.5861831206771</v>
      </c>
      <c r="J146" s="67" t="n">
        <f aca="false">IFERROR(J145/SUM(H142:J142)*SUM(Assumptions!H$191:J$191),0)</f>
        <v>81.019532757621</v>
      </c>
      <c r="K146" s="67" t="n">
        <f aca="false">IFERROR(K145/SUM(I142:K142)*SUM(Assumptions!I$191:K$191),0)</f>
        <v>97.5613469506138</v>
      </c>
      <c r="L146" s="67" t="n">
        <f aca="false">IFERROR(L145/SUM(J142:L142)*SUM(Assumptions!J$191:L$191),0)</f>
        <v>152.063880262865</v>
      </c>
      <c r="M146" s="67" t="n">
        <f aca="false">IFERROR(M145/SUM(K142:M142)*SUM(Assumptions!K$191:M$191),0)</f>
        <v>277.577277173756</v>
      </c>
      <c r="N146" s="67" t="n">
        <f aca="false">IFERROR(N145/SUM(L142:N142)*SUM(Assumptions!L$191:N$191),0)</f>
        <v>0</v>
      </c>
      <c r="O146" s="67" t="n">
        <f aca="false">IFERROR(O145/SUM(M142:O142)*SUM(Assumptions!M$191:O$191),0)</f>
        <v>0</v>
      </c>
      <c r="P146" s="67" t="n">
        <f aca="false">IFERROR(P145/SUM(N142:P142)*SUM(Assumptions!N$191:P$191),0)</f>
        <v>0</v>
      </c>
      <c r="Q146" s="67" t="n">
        <f aca="false">IFERROR(Q145/SUM(O142:Q142)*SUM(Assumptions!O$191:Q$191),0)</f>
        <v>0</v>
      </c>
      <c r="R146" s="67" t="n">
        <f aca="false">IFERROR(R145/SUM(P142:R142)*SUM(Assumptions!P$191:R$191),0)</f>
        <v>0</v>
      </c>
      <c r="S146" s="67" t="n">
        <f aca="false">IFERROR(S145/SUM(Q142:S142)*SUM(Assumptions!Q$191:S$191),0)</f>
        <v>0</v>
      </c>
      <c r="T146" s="67" t="n">
        <f aca="false">IFERROR(T145/SUM(R142:T142)*SUM(Assumptions!R$191:T$191),0)</f>
        <v>0</v>
      </c>
      <c r="U146" s="67" t="n">
        <f aca="false">IFERROR(U145/SUM(S142:U142)*SUM(Assumptions!S$191:U$191),0)</f>
        <v>0</v>
      </c>
      <c r="V146" s="67" t="n">
        <f aca="false">IFERROR(V145/SUM(T142:V142)*SUM(Assumptions!T$191:V$191),0)</f>
        <v>0</v>
      </c>
      <c r="W146" s="67" t="n">
        <f aca="false">IFERROR(W145/SUM(U142:W142)*SUM(Assumptions!U$191:W$191),0)</f>
        <v>0</v>
      </c>
      <c r="X146" s="67" t="n">
        <f aca="false">IFERROR(X145/SUM(V142:X142)*SUM(Assumptions!V$191:X$191),0)</f>
        <v>0</v>
      </c>
      <c r="Y146" s="67" t="n">
        <f aca="false">IFERROR(Y145/SUM(W142:Y142)*SUM(Assumptions!W$191:Y$191),0)</f>
        <v>0</v>
      </c>
      <c r="Z146" s="67" t="n">
        <f aca="false">IFERROR(Z145/SUM(X142:Z142)*SUM(Assumptions!X$191:Z$191),0)</f>
        <v>0</v>
      </c>
      <c r="AA146" s="67" t="n">
        <f aca="false">IFERROR(AA145/SUM(Y142:AA142)*SUM(Assumptions!Y$191:AA$191),0)</f>
        <v>0</v>
      </c>
      <c r="AB146" s="67" t="n">
        <f aca="false">IFERROR(AB145/SUM(Z142:AB142)*SUM(Assumptions!Z$191:AB$191),0)</f>
        <v>0</v>
      </c>
    </row>
    <row r="147" customFormat="false" ht="15" hidden="false" customHeight="false" outlineLevel="0" collapsed="false">
      <c r="A147" s="29" t="s">
        <v>957</v>
      </c>
      <c r="B147" s="60" t="s">
        <v>51</v>
      </c>
      <c r="C147" s="61" t="n">
        <f aca="false">P147</f>
        <v>0</v>
      </c>
      <c r="D147" s="61" t="n">
        <f aca="false">AB147</f>
        <v>0</v>
      </c>
      <c r="E147" s="62" t="n">
        <f aca="false">Engagements!E129</f>
        <v>34027.82</v>
      </c>
      <c r="F147" s="62" t="n">
        <f aca="false">Engagements!F129</f>
        <v>34397.84</v>
      </c>
      <c r="G147" s="62" t="n">
        <f aca="false">Engagements!G129</f>
        <v>36473.2</v>
      </c>
      <c r="H147" s="62" t="n">
        <f aca="false">Engagements!H129</f>
        <v>34945.2</v>
      </c>
      <c r="I147" s="62" t="n">
        <f aca="false">Engagements!I129</f>
        <v>28284.91</v>
      </c>
      <c r="J147" s="62" t="n">
        <f aca="false">Engagements!J129</f>
        <v>34268.16</v>
      </c>
      <c r="K147" s="62" t="n">
        <f aca="false">Engagements!K129</f>
        <v>0</v>
      </c>
      <c r="L147" s="62" t="n">
        <f aca="false">Engagements!L129</f>
        <v>0</v>
      </c>
      <c r="M147" s="62" t="n">
        <f aca="false">Engagements!M129</f>
        <v>0</v>
      </c>
      <c r="N147" s="62" t="n">
        <f aca="false">Engagements!N129</f>
        <v>0</v>
      </c>
      <c r="O147" s="62" t="n">
        <f aca="false">Engagements!O129</f>
        <v>0</v>
      </c>
      <c r="P147" s="62" t="n">
        <f aca="false">Engagements!P129</f>
        <v>0</v>
      </c>
      <c r="Q147" s="62" t="n">
        <f aca="false">Engagements!Q129</f>
        <v>0</v>
      </c>
      <c r="R147" s="62" t="n">
        <f aca="false">Engagements!R129</f>
        <v>0</v>
      </c>
      <c r="S147" s="62" t="n">
        <f aca="false">Engagements!S129</f>
        <v>0</v>
      </c>
      <c r="T147" s="62" t="n">
        <f aca="false">Engagements!T129</f>
        <v>0</v>
      </c>
      <c r="U147" s="62" t="n">
        <f aca="false">Engagements!U129</f>
        <v>0</v>
      </c>
      <c r="V147" s="62" t="n">
        <f aca="false">Engagements!V129</f>
        <v>0</v>
      </c>
      <c r="W147" s="62" t="n">
        <f aca="false">Engagements!W129</f>
        <v>0</v>
      </c>
      <c r="X147" s="62" t="n">
        <f aca="false">Engagements!X129</f>
        <v>0</v>
      </c>
      <c r="Y147" s="62" t="n">
        <f aca="false">Engagements!Y129</f>
        <v>0</v>
      </c>
      <c r="Z147" s="62" t="n">
        <f aca="false">Engagements!Z129</f>
        <v>0</v>
      </c>
      <c r="AA147" s="62" t="n">
        <f aca="false">Engagements!AA129</f>
        <v>0</v>
      </c>
      <c r="AB147" s="62" t="n">
        <f aca="false">Engagements!AB129</f>
        <v>0</v>
      </c>
    </row>
    <row r="149" customFormat="false" ht="15" hidden="false" customHeight="false" outlineLevel="0" collapsed="false">
      <c r="A149" s="23" t="s">
        <v>971</v>
      </c>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row>
    <row r="150" customFormat="false" ht="15" hidden="false" customHeight="false" outlineLevel="0" collapsed="false">
      <c r="A150" s="29" t="s">
        <v>679</v>
      </c>
      <c r="B150" s="60" t="s">
        <v>51</v>
      </c>
      <c r="C150" s="61" t="n">
        <f aca="false">SUM(E150:P150)</f>
        <v>180000</v>
      </c>
      <c r="D150" s="61" t="n">
        <f aca="false">SUM(Q150:AB150)</f>
        <v>246267.14112</v>
      </c>
      <c r="E150" s="62" t="n">
        <f aca="false">Engagements!E231+Engagements!E438</f>
        <v>0</v>
      </c>
      <c r="F150" s="62" t="n">
        <f aca="false">Engagements!F231+Engagements!F438</f>
        <v>0</v>
      </c>
      <c r="G150" s="62" t="n">
        <f aca="false">Engagements!G231+Engagements!G438</f>
        <v>0</v>
      </c>
      <c r="H150" s="62" t="n">
        <f aca="false">Engagements!H231+Engagements!H438</f>
        <v>0</v>
      </c>
      <c r="I150" s="62" t="n">
        <f aca="false">Engagements!I231+Engagements!I438</f>
        <v>0</v>
      </c>
      <c r="J150" s="62" t="n">
        <f aca="false">Engagements!J231+Engagements!J438</f>
        <v>28720.88</v>
      </c>
      <c r="K150" s="62" t="n">
        <f aca="false">Engagements!K231+Engagements!K438</f>
        <v>34892.31</v>
      </c>
      <c r="L150" s="62" t="n">
        <f aca="false">Engagements!L231+Engagements!L438</f>
        <v>23558.24</v>
      </c>
      <c r="M150" s="62" t="n">
        <f aca="false">Engagements!M231+Engagements!M438</f>
        <v>30391.8313612795</v>
      </c>
      <c r="N150" s="62" t="n">
        <f aca="false">Engagements!N231+Engagements!N438</f>
        <v>31388.9615014333</v>
      </c>
      <c r="O150" s="62" t="n">
        <f aca="false">Engagements!O231+Engagements!O438</f>
        <v>31047.7771372872</v>
      </c>
      <c r="P150" s="62" t="n">
        <f aca="false">Engagements!P231+Engagements!P438</f>
        <v>0</v>
      </c>
      <c r="Q150" s="62" t="n">
        <f aca="false">Engagements!Q231+Engagements!Q438</f>
        <v>32726.5303813953</v>
      </c>
      <c r="R150" s="62" t="n">
        <f aca="false">Engagements!R231+Engagements!R438</f>
        <v>33749.234455814</v>
      </c>
      <c r="S150" s="62" t="n">
        <f aca="false">Engagements!S231+Engagements!S438</f>
        <v>36203.7242344186</v>
      </c>
      <c r="T150" s="62" t="n">
        <f aca="false">Engagements!T231+Engagements!T438</f>
        <v>37840.0507534884</v>
      </c>
      <c r="U150" s="62" t="n">
        <f aca="false">Engagements!U231+Engagements!U438</f>
        <v>28840.2548986047</v>
      </c>
      <c r="V150" s="62" t="n">
        <f aca="false">Engagements!V231+Engagements!V438</f>
        <v>39067.2956427907</v>
      </c>
      <c r="W150" s="62" t="n">
        <f aca="false">Engagements!W231+Engagements!W438</f>
        <v>37840.0507534884</v>
      </c>
      <c r="X150" s="62" t="n">
        <f aca="false">Engagements!X231+Engagements!X438</f>
        <v>0</v>
      </c>
      <c r="Y150" s="62" t="n">
        <f aca="false">Engagements!Y231+Engagements!Y438</f>
        <v>0</v>
      </c>
      <c r="Z150" s="62" t="n">
        <f aca="false">Engagements!Z231+Engagements!Z438</f>
        <v>0</v>
      </c>
      <c r="AA150" s="62" t="n">
        <f aca="false">Engagements!AA231+Engagements!AA438</f>
        <v>0</v>
      </c>
      <c r="AB150" s="62" t="n">
        <f aca="false">Engagements!AB231+Engagements!AB438</f>
        <v>0</v>
      </c>
    </row>
    <row r="151" customFormat="false" ht="15" hidden="false" customHeight="false" outlineLevel="0" collapsed="false">
      <c r="A151" s="29" t="s">
        <v>498</v>
      </c>
      <c r="B151" s="60" t="s">
        <v>51</v>
      </c>
      <c r="C151" s="61" t="n">
        <f aca="false">SUM(E151:P151)</f>
        <v>0</v>
      </c>
      <c r="D151" s="61" t="n">
        <f aca="false">SUM(Q151:AB151)</f>
        <v>27192</v>
      </c>
      <c r="E151" s="62" t="n">
        <f aca="false">Engagements!E442</f>
        <v>0</v>
      </c>
      <c r="F151" s="62" t="n">
        <f aca="false">Engagements!F442</f>
        <v>0</v>
      </c>
      <c r="G151" s="62" t="n">
        <f aca="false">Engagements!G442</f>
        <v>0</v>
      </c>
      <c r="H151" s="62" t="n">
        <f aca="false">Engagements!H442</f>
        <v>0</v>
      </c>
      <c r="I151" s="62" t="n">
        <f aca="false">Engagements!I442</f>
        <v>0</v>
      </c>
      <c r="J151" s="62" t="n">
        <f aca="false">Engagements!J442</f>
        <v>0</v>
      </c>
      <c r="K151" s="62" t="n">
        <f aca="false">Engagements!K442</f>
        <v>0</v>
      </c>
      <c r="L151" s="62" t="n">
        <f aca="false">Engagements!L442</f>
        <v>0</v>
      </c>
      <c r="M151" s="62" t="n">
        <f aca="false">Engagements!M442</f>
        <v>0</v>
      </c>
      <c r="N151" s="62" t="n">
        <f aca="false">Engagements!N442</f>
        <v>0</v>
      </c>
      <c r="O151" s="62" t="n">
        <f aca="false">Engagements!O442</f>
        <v>0</v>
      </c>
      <c r="P151" s="62" t="n">
        <f aca="false">Engagements!P442</f>
        <v>0</v>
      </c>
      <c r="Q151" s="62" t="n">
        <f aca="false">Engagements!Q442</f>
        <v>3613.55481727575</v>
      </c>
      <c r="R151" s="62" t="n">
        <f aca="false">Engagements!R442</f>
        <v>3726.47840531561</v>
      </c>
      <c r="S151" s="62" t="n">
        <f aca="false">Engagements!S442</f>
        <v>3997.4950166113</v>
      </c>
      <c r="T151" s="62" t="n">
        <f aca="false">Engagements!T442</f>
        <v>4178.17275747508</v>
      </c>
      <c r="U151" s="62" t="n">
        <f aca="false">Engagements!U442</f>
        <v>3184.44518272425</v>
      </c>
      <c r="V151" s="62" t="n">
        <f aca="false">Engagements!V442</f>
        <v>4313.68106312293</v>
      </c>
      <c r="W151" s="62" t="n">
        <f aca="false">Engagements!W442</f>
        <v>4178.17275747508</v>
      </c>
      <c r="X151" s="62" t="n">
        <f aca="false">Engagements!X442</f>
        <v>0</v>
      </c>
      <c r="Y151" s="62" t="n">
        <f aca="false">Engagements!Y442</f>
        <v>0</v>
      </c>
      <c r="Z151" s="62" t="n">
        <f aca="false">Engagements!Z442</f>
        <v>0</v>
      </c>
      <c r="AA151" s="62" t="n">
        <f aca="false">Engagements!AA442</f>
        <v>0</v>
      </c>
      <c r="AB151" s="62" t="n">
        <f aca="false">Engagements!AB442</f>
        <v>0</v>
      </c>
    </row>
    <row r="152" customFormat="false" ht="15" hidden="false" customHeight="false" outlineLevel="0" collapsed="false">
      <c r="A152" s="68" t="s">
        <v>351</v>
      </c>
      <c r="B152" s="69"/>
      <c r="C152" s="70" t="n">
        <f aca="false">SUM(E152:P152)</f>
        <v>180000</v>
      </c>
      <c r="D152" s="70" t="n">
        <f aca="false">SUM(Q152:AB152)</f>
        <v>273459.14112</v>
      </c>
      <c r="E152" s="70" t="n">
        <f aca="false">E150+E151</f>
        <v>0</v>
      </c>
      <c r="F152" s="70" t="n">
        <f aca="false">F150+F151</f>
        <v>0</v>
      </c>
      <c r="G152" s="70" t="n">
        <f aca="false">G150+G151</f>
        <v>0</v>
      </c>
      <c r="H152" s="70" t="n">
        <f aca="false">H150+H151</f>
        <v>0</v>
      </c>
      <c r="I152" s="70" t="n">
        <f aca="false">I150+I151</f>
        <v>0</v>
      </c>
      <c r="J152" s="70" t="n">
        <f aca="false">J150+J151</f>
        <v>28720.88</v>
      </c>
      <c r="K152" s="70" t="n">
        <f aca="false">K150+K151</f>
        <v>34892.31</v>
      </c>
      <c r="L152" s="70" t="n">
        <f aca="false">L150+L151</f>
        <v>23558.24</v>
      </c>
      <c r="M152" s="70" t="n">
        <f aca="false">M150+M151</f>
        <v>30391.8313612795</v>
      </c>
      <c r="N152" s="70" t="n">
        <f aca="false">N150+N151</f>
        <v>31388.9615014333</v>
      </c>
      <c r="O152" s="70" t="n">
        <f aca="false">O150+O151</f>
        <v>31047.7771372872</v>
      </c>
      <c r="P152" s="70" t="n">
        <f aca="false">P150+P151</f>
        <v>0</v>
      </c>
      <c r="Q152" s="70" t="n">
        <f aca="false">Q150+Q151</f>
        <v>36340.0851986711</v>
      </c>
      <c r="R152" s="70" t="n">
        <f aca="false">R150+R151</f>
        <v>37475.7128611296</v>
      </c>
      <c r="S152" s="70" t="n">
        <f aca="false">S150+S151</f>
        <v>40201.2192510299</v>
      </c>
      <c r="T152" s="70" t="n">
        <f aca="false">T150+T151</f>
        <v>42018.2235109635</v>
      </c>
      <c r="U152" s="70" t="n">
        <f aca="false">U150+U151</f>
        <v>32024.7000813289</v>
      </c>
      <c r="V152" s="70" t="n">
        <f aca="false">V150+V151</f>
        <v>43380.9767059136</v>
      </c>
      <c r="W152" s="70" t="n">
        <f aca="false">W150+W151</f>
        <v>42018.2235109635</v>
      </c>
      <c r="X152" s="70" t="n">
        <f aca="false">X150+X151</f>
        <v>0</v>
      </c>
      <c r="Y152" s="70" t="n">
        <f aca="false">Y150+Y151</f>
        <v>0</v>
      </c>
      <c r="Z152" s="70" t="n">
        <f aca="false">Z150+Z151</f>
        <v>0</v>
      </c>
      <c r="AA152" s="70" t="n">
        <f aca="false">AA150+AA151</f>
        <v>0</v>
      </c>
      <c r="AB152" s="70" t="n">
        <f aca="false">AB150+AB151</f>
        <v>0</v>
      </c>
    </row>
    <row r="153" customFormat="false" ht="15" hidden="false" customHeight="false" outlineLevel="0" collapsed="false">
      <c r="A153" s="29" t="s">
        <v>901</v>
      </c>
      <c r="B153" s="60" t="s">
        <v>51</v>
      </c>
      <c r="C153" s="66" t="n">
        <f aca="false">SUM(E153:P153)</f>
        <v>933.465</v>
      </c>
      <c r="D153" s="66" t="n">
        <f aca="false">SUM(Q153:AB153)</f>
        <v>1320</v>
      </c>
      <c r="E153" s="67" t="n">
        <f aca="false">Engagements!E21+Engagements!E35</f>
        <v>0</v>
      </c>
      <c r="F153" s="67" t="n">
        <f aca="false">Engagements!F21+Engagements!F35</f>
        <v>0</v>
      </c>
      <c r="G153" s="67" t="n">
        <f aca="false">Engagements!G21+Engagements!G35</f>
        <v>0</v>
      </c>
      <c r="H153" s="67" t="n">
        <f aca="false">Engagements!H21+Engagements!H35</f>
        <v>0</v>
      </c>
      <c r="I153" s="67" t="n">
        <f aca="false">Engagements!I21+Engagements!I35</f>
        <v>0</v>
      </c>
      <c r="J153" s="67" t="n">
        <f aca="false">Engagements!J21+Engagements!J35</f>
        <v>145.2</v>
      </c>
      <c r="K153" s="67" t="n">
        <f aca="false">Engagements!K21+Engagements!K35</f>
        <v>176.4</v>
      </c>
      <c r="L153" s="67" t="n">
        <f aca="false">Engagements!L21+Engagements!L35</f>
        <v>119.1</v>
      </c>
      <c r="M153" s="67" t="n">
        <f aca="false">Engagements!M21+Engagements!M35</f>
        <v>168.973276481149</v>
      </c>
      <c r="N153" s="67" t="n">
        <f aca="false">Engagements!N21+Engagements!N35</f>
        <v>162.780538599641</v>
      </c>
      <c r="O153" s="67" t="n">
        <f aca="false">Engagements!O21+Engagements!O35</f>
        <v>161.01118491921</v>
      </c>
      <c r="P153" s="67" t="n">
        <f aca="false">Engagements!P21+Engagements!P35</f>
        <v>0</v>
      </c>
      <c r="Q153" s="67" t="n">
        <f aca="false">Engagements!Q21+Engagements!Q35</f>
        <v>175.415282392027</v>
      </c>
      <c r="R153" s="67" t="n">
        <f aca="false">Engagements!R21+Engagements!R35</f>
        <v>180.897009966777</v>
      </c>
      <c r="S153" s="67" t="n">
        <f aca="false">Engagements!S21+Engagements!S35</f>
        <v>194.053156146179</v>
      </c>
      <c r="T153" s="67" t="n">
        <f aca="false">Engagements!T21+Engagements!T35</f>
        <v>202.823920265781</v>
      </c>
      <c r="U153" s="67" t="n">
        <f aca="false">Engagements!U21+Engagements!U35</f>
        <v>154.584717607973</v>
      </c>
      <c r="V153" s="67" t="n">
        <f aca="false">Engagements!V21+Engagements!V35</f>
        <v>209.401993355482</v>
      </c>
      <c r="W153" s="67" t="n">
        <f aca="false">Engagements!W21+Engagements!W35</f>
        <v>202.823920265781</v>
      </c>
      <c r="X153" s="67" t="n">
        <f aca="false">Engagements!X21+Engagements!X35</f>
        <v>0</v>
      </c>
      <c r="Y153" s="67" t="n">
        <f aca="false">Engagements!Y21+Engagements!Y35</f>
        <v>0</v>
      </c>
      <c r="Z153" s="67" t="n">
        <f aca="false">Engagements!Z21+Engagements!Z35</f>
        <v>0</v>
      </c>
      <c r="AA153" s="67" t="n">
        <f aca="false">Engagements!AA21+Engagements!AA35</f>
        <v>0</v>
      </c>
      <c r="AB153" s="67" t="n">
        <f aca="false">Engagements!AB21+Engagements!AB35</f>
        <v>0</v>
      </c>
    </row>
    <row r="154" customFormat="false" ht="15" hidden="false" customHeight="false" outlineLevel="0" collapsed="false">
      <c r="A154" s="29" t="s">
        <v>833</v>
      </c>
      <c r="B154" s="60" t="s">
        <v>51</v>
      </c>
      <c r="C154" s="61" t="n">
        <f aca="false">SUM(E154:P154)</f>
        <v>192853.869</v>
      </c>
      <c r="D154" s="61" t="n">
        <f aca="false">SUM(Q154:AB154)</f>
        <v>270029.76</v>
      </c>
      <c r="E154" s="62" t="n">
        <f aca="false">Engagements!E228+Engagements!E436</f>
        <v>0</v>
      </c>
      <c r="F154" s="62" t="n">
        <f aca="false">Engagements!F228+Engagements!F436</f>
        <v>0</v>
      </c>
      <c r="G154" s="62" t="n">
        <f aca="false">Engagements!G228+Engagements!G436</f>
        <v>0</v>
      </c>
      <c r="H154" s="62" t="n">
        <f aca="false">Engagements!H228+Engagements!H436</f>
        <v>0</v>
      </c>
      <c r="I154" s="62" t="n">
        <f aca="false">Engagements!I228+Engagements!I436</f>
        <v>0</v>
      </c>
      <c r="J154" s="62" t="n">
        <f aca="false">Engagements!J228+Engagements!J436</f>
        <v>29998.32</v>
      </c>
      <c r="K154" s="62" t="n">
        <f aca="false">Engagements!K228+Engagements!K436</f>
        <v>36444.24</v>
      </c>
      <c r="L154" s="62" t="n">
        <f aca="false">Engagements!L228+Engagements!L436</f>
        <v>24606.06</v>
      </c>
      <c r="M154" s="62" t="n">
        <f aca="false">Engagements!M228+Engagements!M436</f>
        <v>34909.8789210054</v>
      </c>
      <c r="N154" s="62" t="n">
        <f aca="false">Engagements!N228+Engagements!N436</f>
        <v>33630.4592746858</v>
      </c>
      <c r="O154" s="62" t="n">
        <f aca="false">Engagements!O228+Engagements!O436</f>
        <v>33264.9108043088</v>
      </c>
      <c r="P154" s="62" t="n">
        <f aca="false">Engagements!P228+Engagements!P436</f>
        <v>0</v>
      </c>
      <c r="Q154" s="62" t="n">
        <f aca="false">Engagements!Q228+Engagements!Q436</f>
        <v>35884.3534883721</v>
      </c>
      <c r="R154" s="62" t="n">
        <f aca="false">Engagements!R228+Engagements!R436</f>
        <v>37005.7395348837</v>
      </c>
      <c r="S154" s="62" t="n">
        <f aca="false">Engagements!S228+Engagements!S436</f>
        <v>39697.0660465116</v>
      </c>
      <c r="T154" s="62" t="n">
        <f aca="false">Engagements!T228+Engagements!T436</f>
        <v>41491.2837209302</v>
      </c>
      <c r="U154" s="62" t="n">
        <f aca="false">Engagements!U228+Engagements!U436</f>
        <v>31623.0865116279</v>
      </c>
      <c r="V154" s="62" t="n">
        <f aca="false">Engagements!V228+Engagements!V436</f>
        <v>42836.9469767442</v>
      </c>
      <c r="W154" s="62" t="n">
        <f aca="false">Engagements!W228+Engagements!W436</f>
        <v>41491.2837209302</v>
      </c>
      <c r="X154" s="62" t="n">
        <f aca="false">Engagements!X228+Engagements!X436</f>
        <v>0</v>
      </c>
      <c r="Y154" s="62" t="n">
        <f aca="false">Engagements!Y228+Engagements!Y436</f>
        <v>0</v>
      </c>
      <c r="Z154" s="62" t="n">
        <f aca="false">Engagements!Z228+Engagements!Z436</f>
        <v>0</v>
      </c>
      <c r="AA154" s="62" t="n">
        <f aca="false">Engagements!AA228+Engagements!AA436</f>
        <v>0</v>
      </c>
      <c r="AB154" s="62" t="n">
        <f aca="false">Engagements!AB228+Engagements!AB436</f>
        <v>0</v>
      </c>
    </row>
    <row r="155" customFormat="false" ht="15" hidden="false" customHeight="false" outlineLevel="0" collapsed="false">
      <c r="A155" s="29" t="s">
        <v>716</v>
      </c>
      <c r="B155" s="60" t="s">
        <v>51</v>
      </c>
      <c r="C155" s="61" t="n">
        <f aca="false">SUM(E155:P155)</f>
        <v>180000</v>
      </c>
      <c r="D155" s="61" t="n">
        <f aca="false">SUM(Q155:AB155)</f>
        <v>273459.14112</v>
      </c>
      <c r="E155" s="62" t="n">
        <f aca="false">Engagements!E233+Engagements!E439+Engagements!E443</f>
        <v>0</v>
      </c>
      <c r="F155" s="62" t="n">
        <f aca="false">Engagements!F233+Engagements!F439+Engagements!F443</f>
        <v>0</v>
      </c>
      <c r="G155" s="62" t="n">
        <f aca="false">Engagements!G233+Engagements!G439+Engagements!G443</f>
        <v>0</v>
      </c>
      <c r="H155" s="62" t="n">
        <f aca="false">Engagements!H233+Engagements!H439+Engagements!H443</f>
        <v>0</v>
      </c>
      <c r="I155" s="62" t="n">
        <f aca="false">Engagements!I233+Engagements!I439+Engagements!I443</f>
        <v>0</v>
      </c>
      <c r="J155" s="62" t="n">
        <f aca="false">Engagements!J233+Engagements!J439+Engagements!J443</f>
        <v>54000</v>
      </c>
      <c r="K155" s="62" t="n">
        <f aca="false">Engagements!K233+Engagements!K439+Engagements!K443</f>
        <v>0</v>
      </c>
      <c r="L155" s="62" t="n">
        <f aca="false">Engagements!L233+Engagements!L439+Engagements!L443</f>
        <v>0</v>
      </c>
      <c r="M155" s="62" t="n">
        <f aca="false">Engagements!M233+Engagements!M439+Engagements!M443</f>
        <v>72000</v>
      </c>
      <c r="N155" s="62" t="n">
        <f aca="false">Engagements!N233+Engagements!N439+Engagements!N443</f>
        <v>0</v>
      </c>
      <c r="O155" s="62" t="n">
        <f aca="false">Engagements!O233+Engagements!O439+Engagements!O443</f>
        <v>54000</v>
      </c>
      <c r="P155" s="62" t="n">
        <f aca="false">Engagements!P233+Engagements!P439+Engagements!P443</f>
        <v>0</v>
      </c>
      <c r="Q155" s="62" t="n">
        <f aca="false">Engagements!Q233+Engagements!Q439+Engagements!Q443</f>
        <v>0</v>
      </c>
      <c r="R155" s="62" t="n">
        <f aca="false">Engagements!R233+Engagements!R439+Engagements!R443</f>
        <v>36340.0851986711</v>
      </c>
      <c r="S155" s="62" t="n">
        <f aca="false">Engagements!S233+Engagements!S439+Engagements!S443</f>
        <v>37475.7128611296</v>
      </c>
      <c r="T155" s="62" t="n">
        <f aca="false">Engagements!T233+Engagements!T439+Engagements!T443</f>
        <v>40201.2192510299</v>
      </c>
      <c r="U155" s="62" t="n">
        <f aca="false">Engagements!U233+Engagements!U439+Engagements!U443</f>
        <v>42018.2235109635</v>
      </c>
      <c r="V155" s="62" t="n">
        <f aca="false">Engagements!V233+Engagements!V439+Engagements!V443</f>
        <v>32024.7000813289</v>
      </c>
      <c r="W155" s="62" t="n">
        <f aca="false">Engagements!W233+Engagements!W439+Engagements!W443</f>
        <v>43380.9767059136</v>
      </c>
      <c r="X155" s="62" t="n">
        <f aca="false">Engagements!X233+Engagements!X439+Engagements!X443</f>
        <v>42018.2235109635</v>
      </c>
      <c r="Y155" s="62" t="n">
        <f aca="false">Engagements!Y233+Engagements!Y439+Engagements!Y443</f>
        <v>0</v>
      </c>
      <c r="Z155" s="62" t="n">
        <f aca="false">Engagements!Z233+Engagements!Z439+Engagements!Z443</f>
        <v>0</v>
      </c>
      <c r="AA155" s="62" t="n">
        <f aca="false">Engagements!AA233+Engagements!AA439+Engagements!AA443</f>
        <v>0</v>
      </c>
      <c r="AB155" s="62" t="n">
        <f aca="false">Engagements!AB233+Engagements!AB439+Engagements!AB443</f>
        <v>0</v>
      </c>
    </row>
    <row r="156" customFormat="false" ht="15" hidden="false" customHeight="false" outlineLevel="0" collapsed="false">
      <c r="A156" s="29" t="s">
        <v>949</v>
      </c>
      <c r="B156" s="60" t="s">
        <v>950</v>
      </c>
      <c r="C156" s="61" t="n">
        <f aca="false">SUM(E156:P156)</f>
        <v>0</v>
      </c>
      <c r="D156" s="61" t="n">
        <f aca="false">SUM(Q156:AB156)</f>
        <v>0</v>
      </c>
      <c r="E156" s="62" t="n">
        <f aca="false">E155*Client_Register!$E$17</f>
        <v>0</v>
      </c>
      <c r="F156" s="62" t="n">
        <f aca="false">F155*Client_Register!$E$17</f>
        <v>0</v>
      </c>
      <c r="G156" s="62" t="n">
        <f aca="false">G155*Client_Register!$E$17</f>
        <v>0</v>
      </c>
      <c r="H156" s="62" t="n">
        <f aca="false">H155*Client_Register!$E$17</f>
        <v>0</v>
      </c>
      <c r="I156" s="62" t="n">
        <f aca="false">I155*Client_Register!$E$17</f>
        <v>0</v>
      </c>
      <c r="J156" s="62" t="n">
        <f aca="false">J155*Client_Register!$E$17</f>
        <v>0</v>
      </c>
      <c r="K156" s="62" t="n">
        <f aca="false">K155*Client_Register!$E$17</f>
        <v>0</v>
      </c>
      <c r="L156" s="62" t="n">
        <f aca="false">L155*Client_Register!$E$17</f>
        <v>0</v>
      </c>
      <c r="M156" s="62" t="n">
        <f aca="false">M155*Client_Register!$E$17</f>
        <v>0</v>
      </c>
      <c r="N156" s="62" t="n">
        <f aca="false">N155*Client_Register!$E$17</f>
        <v>0</v>
      </c>
      <c r="O156" s="62" t="n">
        <f aca="false">O155*Client_Register!$E$17</f>
        <v>0</v>
      </c>
      <c r="P156" s="62" t="n">
        <f aca="false">P155*Client_Register!$E$17</f>
        <v>0</v>
      </c>
      <c r="Q156" s="62" t="n">
        <f aca="false">Q155*Client_Register!$E$17</f>
        <v>0</v>
      </c>
      <c r="R156" s="62" t="n">
        <f aca="false">R155*Client_Register!$E$17</f>
        <v>0</v>
      </c>
      <c r="S156" s="62" t="n">
        <f aca="false">S155*Client_Register!$E$17</f>
        <v>0</v>
      </c>
      <c r="T156" s="62" t="n">
        <f aca="false">T155*Client_Register!$E$17</f>
        <v>0</v>
      </c>
      <c r="U156" s="62" t="n">
        <f aca="false">U155*Client_Register!$E$17</f>
        <v>0</v>
      </c>
      <c r="V156" s="62" t="n">
        <f aca="false">V155*Client_Register!$E$17</f>
        <v>0</v>
      </c>
      <c r="W156" s="62" t="n">
        <f aca="false">W155*Client_Register!$E$17</f>
        <v>0</v>
      </c>
      <c r="X156" s="62" t="n">
        <f aca="false">X155*Client_Register!$E$17</f>
        <v>0</v>
      </c>
      <c r="Y156" s="62" t="n">
        <f aca="false">Y155*Client_Register!$E$17</f>
        <v>0</v>
      </c>
      <c r="Z156" s="62" t="n">
        <f aca="false">Z155*Client_Register!$E$17</f>
        <v>0</v>
      </c>
      <c r="AA156" s="62" t="n">
        <f aca="false">AA155*Client_Register!$E$17</f>
        <v>0</v>
      </c>
      <c r="AB156" s="62" t="n">
        <f aca="false">AB155*Client_Register!$E$17</f>
        <v>0</v>
      </c>
    </row>
    <row r="157" customFormat="false" ht="15" hidden="false" customHeight="false" outlineLevel="0" collapsed="false">
      <c r="A157" s="68" t="s">
        <v>951</v>
      </c>
      <c r="B157" s="69"/>
      <c r="C157" s="70" t="n">
        <f aca="false">SUM(E157:P157)</f>
        <v>180000</v>
      </c>
      <c r="D157" s="70" t="n">
        <f aca="false">SUM(Q157:AB157)</f>
        <v>273459.14112</v>
      </c>
      <c r="E157" s="70" t="n">
        <f aca="false">E155+E156</f>
        <v>0</v>
      </c>
      <c r="F157" s="70" t="n">
        <f aca="false">F155+F156</f>
        <v>0</v>
      </c>
      <c r="G157" s="70" t="n">
        <f aca="false">G155+G156</f>
        <v>0</v>
      </c>
      <c r="H157" s="70" t="n">
        <f aca="false">H155+H156</f>
        <v>0</v>
      </c>
      <c r="I157" s="70" t="n">
        <f aca="false">I155+I156</f>
        <v>0</v>
      </c>
      <c r="J157" s="70" t="n">
        <f aca="false">J155+J156</f>
        <v>54000</v>
      </c>
      <c r="K157" s="70" t="n">
        <f aca="false">K155+K156</f>
        <v>0</v>
      </c>
      <c r="L157" s="70" t="n">
        <f aca="false">L155+L156</f>
        <v>0</v>
      </c>
      <c r="M157" s="70" t="n">
        <f aca="false">M155+M156</f>
        <v>72000</v>
      </c>
      <c r="N157" s="70" t="n">
        <f aca="false">N155+N156</f>
        <v>0</v>
      </c>
      <c r="O157" s="70" t="n">
        <f aca="false">O155+O156</f>
        <v>54000</v>
      </c>
      <c r="P157" s="70" t="n">
        <f aca="false">P155+P156</f>
        <v>0</v>
      </c>
      <c r="Q157" s="70" t="n">
        <f aca="false">Q155+Q156</f>
        <v>0</v>
      </c>
      <c r="R157" s="70" t="n">
        <f aca="false">R155+R156</f>
        <v>36340.0851986711</v>
      </c>
      <c r="S157" s="70" t="n">
        <f aca="false">S155+S156</f>
        <v>37475.7128611296</v>
      </c>
      <c r="T157" s="70" t="n">
        <f aca="false">T155+T156</f>
        <v>40201.2192510299</v>
      </c>
      <c r="U157" s="70" t="n">
        <f aca="false">U155+U156</f>
        <v>42018.2235109635</v>
      </c>
      <c r="V157" s="70" t="n">
        <f aca="false">V155+V156</f>
        <v>32024.7000813289</v>
      </c>
      <c r="W157" s="70" t="n">
        <f aca="false">W155+W156</f>
        <v>43380.9767059136</v>
      </c>
      <c r="X157" s="70" t="n">
        <f aca="false">X155+X156</f>
        <v>42018.2235109635</v>
      </c>
      <c r="Y157" s="70" t="n">
        <f aca="false">Y155+Y156</f>
        <v>0</v>
      </c>
      <c r="Z157" s="70" t="n">
        <f aca="false">Z155+Z156</f>
        <v>0</v>
      </c>
      <c r="AA157" s="70" t="n">
        <f aca="false">AA155+AA156</f>
        <v>0</v>
      </c>
      <c r="AB157" s="70" t="n">
        <f aca="false">AB155+AB156</f>
        <v>0</v>
      </c>
    </row>
    <row r="158" customFormat="false" ht="15" hidden="false" customHeight="false" outlineLevel="0" collapsed="false">
      <c r="A158" s="29" t="s">
        <v>952</v>
      </c>
      <c r="B158" s="60" t="s">
        <v>953</v>
      </c>
      <c r="C158" s="61" t="n">
        <f aca="false">SUM(E158:P158)</f>
        <v>180000</v>
      </c>
      <c r="D158" s="61" t="n">
        <f aca="false">SUM(Q158:AB158)</f>
        <v>273459.14112</v>
      </c>
      <c r="E158" s="62" t="n">
        <f aca="false">IF(E$5="A",Inputs_Actuals!E114,Client_Register!$J$17+E157-(E157*MIN(1,Client_Register!$I$17/30)+0*MIN(1,MAX(0,(Client_Register!$I$17-30)/30))+0*MIN(1,MAX(0,(Client_Register!$I$17-60)/30))))</f>
        <v>0</v>
      </c>
      <c r="F158" s="62" t="n">
        <f aca="false">IF(F$5="A",Inputs_Actuals!F114,E159+F157-(F157*MIN(1,Client_Register!$I$17/30)+E157*MIN(1,MAX(0,(Client_Register!$I$17-30)/30))+0*MIN(1,MAX(0,(Client_Register!$I$17-60)/30))))</f>
        <v>0</v>
      </c>
      <c r="G158" s="62" t="n">
        <f aca="false">IF(G$5="A",Inputs_Actuals!G114,F159+G157-(G157*MIN(1,Client_Register!$I$17/30)+F157*MIN(1,MAX(0,(Client_Register!$I$17-30)/30))+E157*MIN(1,MAX(0,(Client_Register!$I$17-60)/30))))</f>
        <v>0</v>
      </c>
      <c r="H158" s="62" t="n">
        <f aca="false">IF(H$5="A",Inputs_Actuals!H114,G159+H157-(H157*MIN(1,Client_Register!$I$17/30)+G157*MIN(1,MAX(0,(Client_Register!$I$17-30)/30))+F157*MIN(1,MAX(0,(Client_Register!$I$17-60)/30))))</f>
        <v>0</v>
      </c>
      <c r="I158" s="62" t="n">
        <f aca="false">IF(I$5="A",Inputs_Actuals!I114,H159+I157-(I157*MIN(1,Client_Register!$I$17/30)+H157*MIN(1,MAX(0,(Client_Register!$I$17-30)/30))+G157*MIN(1,MAX(0,(Client_Register!$I$17-60)/30))))</f>
        <v>0</v>
      </c>
      <c r="J158" s="62" t="n">
        <f aca="false">IF(J$5="A",Inputs_Actuals!J114,I159+J157-(J157*MIN(1,Client_Register!$I$17/30)+I157*MIN(1,MAX(0,(Client_Register!$I$17-30)/30))+H157*MIN(1,MAX(0,(Client_Register!$I$17-60)/30))))</f>
        <v>795.29</v>
      </c>
      <c r="K158" s="62" t="n">
        <f aca="false">IF(K$5="A",Inputs_Actuals!K114,J159+K157-(K157*MIN(1,Client_Register!$I$17/30)+J157*MIN(1,MAX(0,(Client_Register!$I$17-30)/30))+I157*MIN(1,MAX(0,(Client_Register!$I$17-60)/30))))</f>
        <v>53204.71</v>
      </c>
      <c r="L158" s="62" t="n">
        <f aca="false">IF(L$5="A",Inputs_Actuals!L114,K159+L157-(L157*MIN(1,Client_Register!$I$17/30)+K157*MIN(1,MAX(0,(Client_Register!$I$17-30)/30))+J157*MIN(1,MAX(0,(Client_Register!$I$17-60)/30))))</f>
        <v>0</v>
      </c>
      <c r="M158" s="62" t="n">
        <f aca="false">IF(M$5="A",Inputs_Actuals!M114,L159+M157-(M157*MIN(1,Client_Register!$I$17/30)+L157*MIN(1,MAX(0,(Client_Register!$I$17-30)/30))+K157*MIN(1,MAX(0,(Client_Register!$I$17-60)/30))))</f>
        <v>0</v>
      </c>
      <c r="N158" s="62" t="n">
        <f aca="false">IF(N$5="A",Inputs_Actuals!N114,M159+N157-(N157*MIN(1,Client_Register!$I$17/30)+M157*MIN(1,MAX(0,(Client_Register!$I$17-30)/30))+L157*MIN(1,MAX(0,(Client_Register!$I$17-60)/30))))</f>
        <v>72000</v>
      </c>
      <c r="O158" s="62" t="n">
        <f aca="false">IF(O$5="A",Inputs_Actuals!O114,N159+O157-(O157*MIN(1,Client_Register!$I$17/30)+N157*MIN(1,MAX(0,(Client_Register!$I$17-30)/30))+M157*MIN(1,MAX(0,(Client_Register!$I$17-60)/30))))</f>
        <v>0</v>
      </c>
      <c r="P158" s="62" t="n">
        <f aca="false">IF(P$5="A",Inputs_Actuals!P114,O159+P157-(P157*MIN(1,Client_Register!$I$17/30)+O157*MIN(1,MAX(0,(Client_Register!$I$17-30)/30))+N157*MIN(1,MAX(0,(Client_Register!$I$17-60)/30))))</f>
        <v>54000</v>
      </c>
      <c r="Q158" s="62" t="n">
        <f aca="false">IF(Q$5="A",Inputs_Actuals!Q114,P159+Q157-(Q157*MIN(1,Client_Register!$I$17/30)+P157*MIN(1,MAX(0,(Client_Register!$I$17-30)/30))+O157*MIN(1,MAX(0,(Client_Register!$I$17-60)/30))))</f>
        <v>0</v>
      </c>
      <c r="R158" s="62" t="n">
        <f aca="false">IF(R$5="A",Inputs_Actuals!R114,Q159+R157-(R157*MIN(1,Client_Register!$I$17/30)+Q157*MIN(1,MAX(0,(Client_Register!$I$17-30)/30))+P157*MIN(1,MAX(0,(Client_Register!$I$17-60)/30))))</f>
        <v>0</v>
      </c>
      <c r="S158" s="62" t="n">
        <f aca="false">IF(S$5="A",Inputs_Actuals!S114,R159+S157-(S157*MIN(1,Client_Register!$I$17/30)+R157*MIN(1,MAX(0,(Client_Register!$I$17-30)/30))+Q157*MIN(1,MAX(0,(Client_Register!$I$17-60)/30))))</f>
        <v>36340.0851986711</v>
      </c>
      <c r="T158" s="62" t="n">
        <f aca="false">IF(T$5="A",Inputs_Actuals!T114,S159+T157-(T157*MIN(1,Client_Register!$I$17/30)+S157*MIN(1,MAX(0,(Client_Register!$I$17-30)/30))+R157*MIN(1,MAX(0,(Client_Register!$I$17-60)/30))))</f>
        <v>37475.7128611296</v>
      </c>
      <c r="U158" s="62" t="n">
        <f aca="false">IF(U$5="A",Inputs_Actuals!U114,T159+U157-(U157*MIN(1,Client_Register!$I$17/30)+T157*MIN(1,MAX(0,(Client_Register!$I$17-30)/30))+S157*MIN(1,MAX(0,(Client_Register!$I$17-60)/30))))</f>
        <v>40201.2192510299</v>
      </c>
      <c r="V158" s="62" t="n">
        <f aca="false">IF(V$5="A",Inputs_Actuals!V114,U159+V157-(V157*MIN(1,Client_Register!$I$17/30)+U157*MIN(1,MAX(0,(Client_Register!$I$17-30)/30))+T157*MIN(1,MAX(0,(Client_Register!$I$17-60)/30))))</f>
        <v>42018.2235109635</v>
      </c>
      <c r="W158" s="62" t="n">
        <f aca="false">IF(W$5="A",Inputs_Actuals!W114,V159+W157-(W157*MIN(1,Client_Register!$I$17/30)+V157*MIN(1,MAX(0,(Client_Register!$I$17-30)/30))+U157*MIN(1,MAX(0,(Client_Register!$I$17-60)/30))))</f>
        <v>32024.7000813289</v>
      </c>
      <c r="X158" s="62" t="n">
        <f aca="false">IF(X$5="A",Inputs_Actuals!X114,W159+X157-(X157*MIN(1,Client_Register!$I$17/30)+W157*MIN(1,MAX(0,(Client_Register!$I$17-30)/30))+V157*MIN(1,MAX(0,(Client_Register!$I$17-60)/30))))</f>
        <v>43380.9767059136</v>
      </c>
      <c r="Y158" s="62" t="n">
        <f aca="false">IF(Y$5="A",Inputs_Actuals!Y114,X159+Y157-(Y157*MIN(1,Client_Register!$I$17/30)+X157*MIN(1,MAX(0,(Client_Register!$I$17-30)/30))+W157*MIN(1,MAX(0,(Client_Register!$I$17-60)/30))))</f>
        <v>42018.2235109635</v>
      </c>
      <c r="Z158" s="62" t="n">
        <f aca="false">IF(Z$5="A",Inputs_Actuals!Z114,Y159+Z157-(Z157*MIN(1,Client_Register!$I$17/30)+Y157*MIN(1,MAX(0,(Client_Register!$I$17-30)/30))+X157*MIN(1,MAX(0,(Client_Register!$I$17-60)/30))))</f>
        <v>0</v>
      </c>
      <c r="AA158" s="62" t="n">
        <f aca="false">IF(AA$5="A",Inputs_Actuals!AA114,Z159+AA157-(AA157*MIN(1,Client_Register!$I$17/30)+Z157*MIN(1,MAX(0,(Client_Register!$I$17-30)/30))+Y157*MIN(1,MAX(0,(Client_Register!$I$17-60)/30))))</f>
        <v>0</v>
      </c>
      <c r="AB158" s="62" t="n">
        <f aca="false">IF(AB$5="A",Inputs_Actuals!AB114,AA159+AB157-(AB157*MIN(1,Client_Register!$I$17/30)+AA157*MIN(1,MAX(0,(Client_Register!$I$17-30)/30))+Z157*MIN(1,MAX(0,(Client_Register!$I$17-60)/30))))</f>
        <v>0</v>
      </c>
    </row>
    <row r="159" customFormat="false" ht="15" hidden="false" customHeight="false" outlineLevel="0" collapsed="false">
      <c r="A159" s="68" t="s">
        <v>954</v>
      </c>
      <c r="B159" s="69" t="s">
        <v>955</v>
      </c>
      <c r="C159" s="70" t="n">
        <f aca="false">P159</f>
        <v>0</v>
      </c>
      <c r="D159" s="70" t="n">
        <f aca="false">AB159</f>
        <v>0</v>
      </c>
      <c r="E159" s="74" t="n">
        <f aca="false">Client_Register!$J$17+E157-E158</f>
        <v>0</v>
      </c>
      <c r="F159" s="70" t="n">
        <f aca="false">E159+F157-F158</f>
        <v>0</v>
      </c>
      <c r="G159" s="70" t="n">
        <f aca="false">F159+G157-G158</f>
        <v>0</v>
      </c>
      <c r="H159" s="70" t="n">
        <f aca="false">G159+H157-H158</f>
        <v>0</v>
      </c>
      <c r="I159" s="70" t="n">
        <f aca="false">H159+I157-I158</f>
        <v>0</v>
      </c>
      <c r="J159" s="70" t="n">
        <f aca="false">I159+J157-J158</f>
        <v>53204.71</v>
      </c>
      <c r="K159" s="70" t="n">
        <f aca="false">J159+K157-K158</f>
        <v>0</v>
      </c>
      <c r="L159" s="70" t="n">
        <f aca="false">K159+L157-L158</f>
        <v>0</v>
      </c>
      <c r="M159" s="70" t="n">
        <f aca="false">L159+M157-M158</f>
        <v>72000</v>
      </c>
      <c r="N159" s="70" t="n">
        <f aca="false">M159+N157-N158</f>
        <v>0</v>
      </c>
      <c r="O159" s="70" t="n">
        <f aca="false">N159+O157-O158</f>
        <v>54000</v>
      </c>
      <c r="P159" s="70" t="n">
        <f aca="false">O159+P157-P158</f>
        <v>0</v>
      </c>
      <c r="Q159" s="70" t="n">
        <f aca="false">P159+Q157-Q158</f>
        <v>0</v>
      </c>
      <c r="R159" s="70" t="n">
        <f aca="false">Q159+R157-R158</f>
        <v>36340.0851986711</v>
      </c>
      <c r="S159" s="70" t="n">
        <f aca="false">R159+S157-S158</f>
        <v>37475.7128611296</v>
      </c>
      <c r="T159" s="70" t="n">
        <f aca="false">S159+T157-T158</f>
        <v>40201.2192510299</v>
      </c>
      <c r="U159" s="70" t="n">
        <f aca="false">T159+U157-U158</f>
        <v>42018.2235109635</v>
      </c>
      <c r="V159" s="70" t="n">
        <f aca="false">U159+V157-V158</f>
        <v>32024.7000813289</v>
      </c>
      <c r="W159" s="70" t="n">
        <f aca="false">V159+W157-W158</f>
        <v>43380.9767059136</v>
      </c>
      <c r="X159" s="70" t="n">
        <f aca="false">W159+X157-X158</f>
        <v>42018.2235109635</v>
      </c>
      <c r="Y159" s="70" t="n">
        <f aca="false">X159+Y157-Y158</f>
        <v>0</v>
      </c>
      <c r="Z159" s="70" t="n">
        <f aca="false">Y159+Z157-Z158</f>
        <v>0</v>
      </c>
      <c r="AA159" s="70" t="n">
        <f aca="false">Z159+AA157-AA158</f>
        <v>0</v>
      </c>
      <c r="AB159" s="70" t="n">
        <f aca="false">AA159+AB157-AB158</f>
        <v>0</v>
      </c>
    </row>
    <row r="160" customFormat="false" ht="15" hidden="false" customHeight="false" outlineLevel="0" collapsed="false">
      <c r="A160" s="29" t="s">
        <v>956</v>
      </c>
      <c r="B160" s="60"/>
      <c r="C160" s="66" t="n">
        <f aca="false">P160</f>
        <v>0</v>
      </c>
      <c r="D160" s="66" t="n">
        <f aca="false">AB160</f>
        <v>0</v>
      </c>
      <c r="E160" s="67" t="n">
        <f aca="false">IFERROR(E159/SUM(E157:E157)*SUM(Assumptions!E$191:E$191),0)</f>
        <v>0</v>
      </c>
      <c r="F160" s="67" t="n">
        <f aca="false">IFERROR(F159/SUM(E157:F157)*SUM(Assumptions!E$191:F$191),0)</f>
        <v>0</v>
      </c>
      <c r="G160" s="67" t="n">
        <f aca="false">IFERROR(G159/SUM(E157:G157)*SUM(Assumptions!E$191:G$191),0)</f>
        <v>0</v>
      </c>
      <c r="H160" s="67" t="n">
        <f aca="false">IFERROR(H159/SUM(F157:H157)*SUM(Assumptions!F$191:H$191),0)</f>
        <v>0</v>
      </c>
      <c r="I160" s="67" t="n">
        <f aca="false">IFERROR(I159/SUM(G157:I157)*SUM(Assumptions!G$191:I$191),0)</f>
        <v>0</v>
      </c>
      <c r="J160" s="67" t="n">
        <f aca="false">IFERROR(J159/SUM(H157:J157)*SUM(Assumptions!H$191:J$191),0)</f>
        <v>89.6597890740741</v>
      </c>
      <c r="K160" s="67" t="n">
        <f aca="false">IFERROR(K159/SUM(I157:K157)*SUM(Assumptions!I$191:K$191),0)</f>
        <v>0</v>
      </c>
      <c r="L160" s="67" t="n">
        <f aca="false">IFERROR(L159/SUM(J157:L157)*SUM(Assumptions!J$191:L$191),0)</f>
        <v>0</v>
      </c>
      <c r="M160" s="67" t="n">
        <f aca="false">IFERROR(M159/SUM(K157:M157)*SUM(Assumptions!K$191:M$191),0)</f>
        <v>92</v>
      </c>
      <c r="N160" s="67" t="n">
        <f aca="false">IFERROR(N159/SUM(L157:N157)*SUM(Assumptions!L$191:N$191),0)</f>
        <v>0</v>
      </c>
      <c r="O160" s="67" t="n">
        <f aca="false">IFERROR(O159/SUM(M157:O157)*SUM(Assumptions!M$191:O$191),0)</f>
        <v>39</v>
      </c>
      <c r="P160" s="67" t="n">
        <f aca="false">IFERROR(P159/SUM(N157:P157)*SUM(Assumptions!N$191:P$191),0)</f>
        <v>0</v>
      </c>
      <c r="Q160" s="67" t="n">
        <f aca="false">IFERROR(Q159/SUM(O157:Q157)*SUM(Assumptions!O$191:Q$191),0)</f>
        <v>0</v>
      </c>
      <c r="R160" s="67" t="n">
        <f aca="false">IFERROR(R159/SUM(P157:R157)*SUM(Assumptions!P$191:R$191),0)</f>
        <v>90</v>
      </c>
      <c r="S160" s="67" t="n">
        <f aca="false">IFERROR(S159/SUM(Q157:S157)*SUM(Assumptions!Q$191:S$191),0)</f>
        <v>45.6923076923077</v>
      </c>
      <c r="T160" s="67" t="n">
        <f aca="false">IFERROR(T159/SUM(R157:T157)*SUM(Assumptions!R$191:T$191),0)</f>
        <v>31.3804780876494</v>
      </c>
      <c r="U160" s="67" t="n">
        <f aca="false">IFERROR(U159/SUM(S157:U157)*SUM(Assumptions!S$191:U$191),0)</f>
        <v>32.2960151802657</v>
      </c>
      <c r="V160" s="67" t="n">
        <f aca="false">IFERROR(V159/SUM(T157:V157)*SUM(Assumptions!T$191:V$191),0)</f>
        <v>25.5089463220676</v>
      </c>
      <c r="W160" s="67" t="n">
        <f aca="false">IFERROR(W159/SUM(U157:W157)*SUM(Assumptions!U$191:W$191),0)</f>
        <v>33.9883945841393</v>
      </c>
      <c r="X160" s="67" t="n">
        <f aca="false">IFERROR(X159/SUM(V157:X157)*SUM(Assumptions!V$191:X$191),0)</f>
        <v>32.9206963249516</v>
      </c>
      <c r="Y160" s="67" t="n">
        <f aca="false">IFERROR(Y159/SUM(W157:Y157)*SUM(Assumptions!W$191:Y$191),0)</f>
        <v>0</v>
      </c>
      <c r="Z160" s="67" t="n">
        <f aca="false">IFERROR(Z159/SUM(X157:Z157)*SUM(Assumptions!X$191:Z$191),0)</f>
        <v>0</v>
      </c>
      <c r="AA160" s="67" t="n">
        <f aca="false">IFERROR(AA159/SUM(Y157:AA157)*SUM(Assumptions!Y$191:AA$191),0)</f>
        <v>0</v>
      </c>
      <c r="AB160" s="67" t="n">
        <f aca="false">IFERROR(AB159/SUM(Z157:AB157)*SUM(Assumptions!Z$191:AB$191),0)</f>
        <v>0</v>
      </c>
    </row>
    <row r="161" customFormat="false" ht="15" hidden="false" customHeight="false" outlineLevel="0" collapsed="false">
      <c r="A161" s="29" t="s">
        <v>957</v>
      </c>
      <c r="B161" s="60" t="s">
        <v>51</v>
      </c>
      <c r="C161" s="61" t="n">
        <f aca="false">P161</f>
        <v>0</v>
      </c>
      <c r="D161" s="61" t="n">
        <f aca="false">AB161</f>
        <v>0</v>
      </c>
      <c r="E161" s="62" t="n">
        <f aca="false">Engagements!E236+Engagements!E444</f>
        <v>0</v>
      </c>
      <c r="F161" s="62" t="n">
        <f aca="false">Engagements!F236+Engagements!F444</f>
        <v>0</v>
      </c>
      <c r="G161" s="62" t="n">
        <f aca="false">Engagements!G236+Engagements!G444</f>
        <v>0</v>
      </c>
      <c r="H161" s="62" t="n">
        <f aca="false">Engagements!H236+Engagements!H444</f>
        <v>0</v>
      </c>
      <c r="I161" s="62" t="n">
        <f aca="false">Engagements!I236+Engagements!I444</f>
        <v>0</v>
      </c>
      <c r="J161" s="62" t="n">
        <f aca="false">Engagements!J236+Engagements!J444</f>
        <v>-25279.12</v>
      </c>
      <c r="K161" s="62" t="n">
        <f aca="false">Engagements!K236+Engagements!K444</f>
        <v>9613.19</v>
      </c>
      <c r="L161" s="62" t="n">
        <f aca="false">Engagements!L236+Engagements!L444</f>
        <v>33171.43</v>
      </c>
      <c r="M161" s="62" t="n">
        <f aca="false">Engagements!M236+Engagements!M444</f>
        <v>-8436.73863872043</v>
      </c>
      <c r="N161" s="62" t="n">
        <f aca="false">Engagements!N236+Engagements!N444</f>
        <v>22952.2228627128</v>
      </c>
      <c r="O161" s="62" t="n">
        <f aca="false">Engagements!O236+Engagements!O444</f>
        <v>0</v>
      </c>
      <c r="P161" s="62" t="n">
        <f aca="false">Engagements!P236+Engagements!P444</f>
        <v>0</v>
      </c>
      <c r="Q161" s="62" t="n">
        <f aca="false">Engagements!Q236+Engagements!Q444</f>
        <v>36340.0851986711</v>
      </c>
      <c r="R161" s="62" t="n">
        <f aca="false">Engagements!R236+Engagements!R444</f>
        <v>37475.7128611296</v>
      </c>
      <c r="S161" s="62" t="n">
        <f aca="false">Engagements!S236+Engagements!S444</f>
        <v>40201.2192510299</v>
      </c>
      <c r="T161" s="62" t="n">
        <f aca="false">Engagements!T236+Engagements!T444</f>
        <v>42018.2235109635</v>
      </c>
      <c r="U161" s="62" t="n">
        <f aca="false">Engagements!U236+Engagements!U444</f>
        <v>32024.7000813289</v>
      </c>
      <c r="V161" s="62" t="n">
        <f aca="false">Engagements!V236+Engagements!V444</f>
        <v>43380.9767059136</v>
      </c>
      <c r="W161" s="62" t="n">
        <f aca="false">Engagements!W236+Engagements!W444</f>
        <v>42018.2235109635</v>
      </c>
      <c r="X161" s="62" t="n">
        <f aca="false">Engagements!X236+Engagements!X444</f>
        <v>0</v>
      </c>
      <c r="Y161" s="62" t="n">
        <f aca="false">Engagements!Y236+Engagements!Y444</f>
        <v>0</v>
      </c>
      <c r="Z161" s="62" t="n">
        <f aca="false">Engagements!Z236+Engagements!Z444</f>
        <v>0</v>
      </c>
      <c r="AA161" s="62" t="n">
        <f aca="false">Engagements!AA236+Engagements!AA444</f>
        <v>0</v>
      </c>
      <c r="AB161" s="62" t="n">
        <f aca="false">Engagements!AB236+Engagements!AB444</f>
        <v>0</v>
      </c>
    </row>
    <row r="163" customFormat="false" ht="15" hidden="false" customHeight="false" outlineLevel="0" collapsed="false">
      <c r="A163" s="23" t="s">
        <v>972</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row>
    <row r="164" customFormat="false" ht="15" hidden="false" customHeight="false" outlineLevel="0" collapsed="false">
      <c r="A164" s="29" t="s">
        <v>679</v>
      </c>
      <c r="B164" s="60" t="s">
        <v>51</v>
      </c>
      <c r="C164" s="61" t="n">
        <f aca="false">SUM(E164:P164)</f>
        <v>561967.630235525</v>
      </c>
      <c r="D164" s="61" t="n">
        <f aca="false">SUM(Q164:AB164)</f>
        <v>166081.435060966</v>
      </c>
      <c r="E164" s="62" t="n">
        <f aca="false">Engagements!E152+Engagements!E481</f>
        <v>0</v>
      </c>
      <c r="F164" s="62" t="n">
        <f aca="false">Engagements!F152+Engagements!F481</f>
        <v>54401.79</v>
      </c>
      <c r="G164" s="62" t="n">
        <f aca="false">Engagements!G152+Engagements!G481</f>
        <v>63303.29</v>
      </c>
      <c r="H164" s="62" t="n">
        <f aca="false">Engagements!H152+Engagements!H481</f>
        <v>55130.06</v>
      </c>
      <c r="I164" s="62" t="n">
        <f aca="false">Engagements!I152+Engagements!I481</f>
        <v>48134.69</v>
      </c>
      <c r="J164" s="62" t="n">
        <f aca="false">Engagements!J152+Engagements!J481</f>
        <v>59456.54</v>
      </c>
      <c r="K164" s="62" t="n">
        <f aca="false">Engagements!K152+Engagements!K481</f>
        <v>69476.27</v>
      </c>
      <c r="L164" s="62" t="n">
        <f aca="false">Engagements!L152+Engagements!L481</f>
        <v>51562.32</v>
      </c>
      <c r="M164" s="62" t="n">
        <f aca="false">Engagements!M152+Engagements!M481</f>
        <v>63379.700012485</v>
      </c>
      <c r="N164" s="62" t="n">
        <f aca="false">Engagements!N152+Engagements!N481</f>
        <v>61056.883781661</v>
      </c>
      <c r="O164" s="62" t="n">
        <f aca="false">Engagements!O152+Engagements!O481</f>
        <v>0</v>
      </c>
      <c r="P164" s="62" t="n">
        <f aca="false">Engagements!P152+Engagements!P481</f>
        <v>36066.0864413793</v>
      </c>
      <c r="Q164" s="62" t="n">
        <f aca="false">Engagements!Q152+Engagements!Q481</f>
        <v>32093.0309296552</v>
      </c>
      <c r="R164" s="62" t="n">
        <f aca="false">Engagements!R152+Engagements!R481</f>
        <v>33095.9381462069</v>
      </c>
      <c r="S164" s="62" t="n">
        <f aca="false">Engagements!S152+Engagements!S481</f>
        <v>35502.915465931</v>
      </c>
      <c r="T164" s="62" t="n">
        <f aca="false">Engagements!T152+Engagements!T481</f>
        <v>37107.5670124138</v>
      </c>
      <c r="U164" s="62" t="n">
        <f aca="false">Engagements!U152+Engagements!U481</f>
        <v>28281.9835067586</v>
      </c>
      <c r="V164" s="62" t="n">
        <f aca="false">Engagements!V152+Engagements!V481</f>
        <v>0</v>
      </c>
      <c r="W164" s="62" t="n">
        <f aca="false">Engagements!W152+Engagements!W481</f>
        <v>0</v>
      </c>
      <c r="X164" s="62" t="n">
        <f aca="false">Engagements!X152+Engagements!X481</f>
        <v>0</v>
      </c>
      <c r="Y164" s="62" t="n">
        <f aca="false">Engagements!Y152+Engagements!Y481</f>
        <v>0</v>
      </c>
      <c r="Z164" s="62" t="n">
        <f aca="false">Engagements!Z152+Engagements!Z481</f>
        <v>0</v>
      </c>
      <c r="AA164" s="62" t="n">
        <f aca="false">Engagements!AA152+Engagements!AA481</f>
        <v>0</v>
      </c>
      <c r="AB164" s="62" t="n">
        <f aca="false">Engagements!AB152+Engagements!AB481</f>
        <v>0</v>
      </c>
    </row>
    <row r="165" customFormat="false" ht="15" hidden="false" customHeight="false" outlineLevel="0" collapsed="false">
      <c r="A165" s="29" t="s">
        <v>498</v>
      </c>
      <c r="B165" s="60" t="s">
        <v>51</v>
      </c>
      <c r="C165" s="61" t="n">
        <f aca="false">SUM(E165:P165)</f>
        <v>66251.2081280788</v>
      </c>
      <c r="D165" s="61" t="n">
        <f aca="false">SUM(Q165:AB165)</f>
        <v>19964.0181280788</v>
      </c>
      <c r="E165" s="62" t="n">
        <f aca="false">Engagements!E156+Engagements!E485</f>
        <v>0</v>
      </c>
      <c r="F165" s="62" t="n">
        <f aca="false">Engagements!F156+Engagements!F485</f>
        <v>7535.4</v>
      </c>
      <c r="G165" s="62" t="n">
        <f aca="false">Engagements!G156+Engagements!G485</f>
        <v>6323.98</v>
      </c>
      <c r="H165" s="62" t="n">
        <f aca="false">Engagements!H156+Engagements!H485</f>
        <v>5221.12</v>
      </c>
      <c r="I165" s="62" t="n">
        <f aca="false">Engagements!I156+Engagements!I485</f>
        <v>5060.38</v>
      </c>
      <c r="J165" s="62" t="n">
        <f aca="false">Engagements!J156+Engagements!J485</f>
        <v>8359.72</v>
      </c>
      <c r="K165" s="62" t="n">
        <f aca="false">Engagements!K156+Engagements!K485</f>
        <v>7190.01</v>
      </c>
      <c r="L165" s="62" t="n">
        <f aca="false">Engagements!L156+Engagements!L485</f>
        <v>7097.74</v>
      </c>
      <c r="M165" s="62" t="n">
        <f aca="false">Engagements!M156+Engagements!M485</f>
        <v>7683.49706666667</v>
      </c>
      <c r="N165" s="62" t="n">
        <f aca="false">Engagements!N156+Engagements!N485</f>
        <v>7401.90293333333</v>
      </c>
      <c r="O165" s="62" t="n">
        <f aca="false">Engagements!O156+Engagements!O485</f>
        <v>0</v>
      </c>
      <c r="P165" s="62" t="n">
        <f aca="false">Engagements!P156+Engagements!P485</f>
        <v>4377.45812807882</v>
      </c>
      <c r="Q165" s="62" t="n">
        <f aca="false">Engagements!Q156+Engagements!Q485</f>
        <v>3857.78128078818</v>
      </c>
      <c r="R165" s="62" t="n">
        <f aca="false">Engagements!R156+Engagements!R485</f>
        <v>3978.33694581281</v>
      </c>
      <c r="S165" s="62" t="n">
        <f aca="false">Engagements!S156+Engagements!S485</f>
        <v>4267.67054187192</v>
      </c>
      <c r="T165" s="62" t="n">
        <f aca="false">Engagements!T156+Engagements!T485</f>
        <v>4460.55960591133</v>
      </c>
      <c r="U165" s="62" t="n">
        <f aca="false">Engagements!U156+Engagements!U485</f>
        <v>3399.66975369458</v>
      </c>
      <c r="V165" s="62" t="n">
        <f aca="false">Engagements!V156+Engagements!V485</f>
        <v>0</v>
      </c>
      <c r="W165" s="62" t="n">
        <f aca="false">Engagements!W156+Engagements!W485</f>
        <v>0</v>
      </c>
      <c r="X165" s="62" t="n">
        <f aca="false">Engagements!X156+Engagements!X485</f>
        <v>0</v>
      </c>
      <c r="Y165" s="62" t="n">
        <f aca="false">Engagements!Y156+Engagements!Y485</f>
        <v>0</v>
      </c>
      <c r="Z165" s="62" t="n">
        <f aca="false">Engagements!Z156+Engagements!Z485</f>
        <v>0</v>
      </c>
      <c r="AA165" s="62" t="n">
        <f aca="false">Engagements!AA156+Engagements!AA485</f>
        <v>0</v>
      </c>
      <c r="AB165" s="62" t="n">
        <f aca="false">Engagements!AB156+Engagements!AB485</f>
        <v>0</v>
      </c>
    </row>
    <row r="166" customFormat="false" ht="15" hidden="false" customHeight="false" outlineLevel="0" collapsed="false">
      <c r="A166" s="68" t="s">
        <v>351</v>
      </c>
      <c r="B166" s="69"/>
      <c r="C166" s="70" t="n">
        <f aca="false">SUM(E166:P166)</f>
        <v>628218.838363604</v>
      </c>
      <c r="D166" s="70" t="n">
        <f aca="false">SUM(Q166:AB166)</f>
        <v>186045.453189044</v>
      </c>
      <c r="E166" s="70" t="n">
        <f aca="false">E164+E165</f>
        <v>0</v>
      </c>
      <c r="F166" s="70" t="n">
        <f aca="false">F164+F165</f>
        <v>61937.19</v>
      </c>
      <c r="G166" s="70" t="n">
        <f aca="false">G164+G165</f>
        <v>69627.27</v>
      </c>
      <c r="H166" s="70" t="n">
        <f aca="false">H164+H165</f>
        <v>60351.18</v>
      </c>
      <c r="I166" s="70" t="n">
        <f aca="false">I164+I165</f>
        <v>53195.07</v>
      </c>
      <c r="J166" s="70" t="n">
        <f aca="false">J164+J165</f>
        <v>67816.26</v>
      </c>
      <c r="K166" s="70" t="n">
        <f aca="false">K164+K165</f>
        <v>76666.28</v>
      </c>
      <c r="L166" s="70" t="n">
        <f aca="false">L164+L165</f>
        <v>58660.06</v>
      </c>
      <c r="M166" s="70" t="n">
        <f aca="false">M164+M165</f>
        <v>71063.1970791517</v>
      </c>
      <c r="N166" s="70" t="n">
        <f aca="false">N164+N165</f>
        <v>68458.7867149943</v>
      </c>
      <c r="O166" s="70" t="n">
        <f aca="false">O164+O165</f>
        <v>0</v>
      </c>
      <c r="P166" s="70" t="n">
        <f aca="false">P164+P165</f>
        <v>40443.5445694581</v>
      </c>
      <c r="Q166" s="70" t="n">
        <f aca="false">Q164+Q165</f>
        <v>35950.8122104434</v>
      </c>
      <c r="R166" s="70" t="n">
        <f aca="false">R164+R165</f>
        <v>37074.2750920197</v>
      </c>
      <c r="S166" s="70" t="n">
        <f aca="false">S164+S165</f>
        <v>39770.586007803</v>
      </c>
      <c r="T166" s="70" t="n">
        <f aca="false">T164+T165</f>
        <v>41568.1266183251</v>
      </c>
      <c r="U166" s="70" t="n">
        <f aca="false">U164+U165</f>
        <v>31681.6532604532</v>
      </c>
      <c r="V166" s="70" t="n">
        <f aca="false">V164+V165</f>
        <v>0</v>
      </c>
      <c r="W166" s="70" t="n">
        <f aca="false">W164+W165</f>
        <v>0</v>
      </c>
      <c r="X166" s="70" t="n">
        <f aca="false">X164+X165</f>
        <v>0</v>
      </c>
      <c r="Y166" s="70" t="n">
        <f aca="false">Y164+Y165</f>
        <v>0</v>
      </c>
      <c r="Z166" s="70" t="n">
        <f aca="false">Z164+Z165</f>
        <v>0</v>
      </c>
      <c r="AA166" s="70" t="n">
        <f aca="false">AA164+AA165</f>
        <v>0</v>
      </c>
      <c r="AB166" s="70" t="n">
        <f aca="false">AB164+AB165</f>
        <v>0</v>
      </c>
    </row>
    <row r="167" customFormat="false" ht="15" hidden="false" customHeight="false" outlineLevel="0" collapsed="false">
      <c r="A167" s="29" t="s">
        <v>901</v>
      </c>
      <c r="B167" s="60" t="s">
        <v>51</v>
      </c>
      <c r="C167" s="66" t="n">
        <f aca="false">SUM(E167:P167)</f>
        <v>3074.37536945813</v>
      </c>
      <c r="D167" s="66" t="n">
        <f aca="false">SUM(Q167:AB167)</f>
        <v>881.024630541872</v>
      </c>
      <c r="E167" s="67" t="n">
        <f aca="false">Engagements!E16+Engagements!E38</f>
        <v>0</v>
      </c>
      <c r="F167" s="67" t="n">
        <f aca="false">Engagements!F16+Engagements!F38</f>
        <v>298.4</v>
      </c>
      <c r="G167" s="67" t="n">
        <f aca="false">Engagements!G16+Engagements!G38</f>
        <v>345.6</v>
      </c>
      <c r="H167" s="67" t="n">
        <f aca="false">Engagements!H16+Engagements!H38</f>
        <v>299.6</v>
      </c>
      <c r="I167" s="67" t="n">
        <f aca="false">Engagements!I16+Engagements!I38</f>
        <v>263.2</v>
      </c>
      <c r="J167" s="67" t="n">
        <f aca="false">Engagements!J16+Engagements!J38</f>
        <v>328.2</v>
      </c>
      <c r="K167" s="67" t="n">
        <f aca="false">Engagements!K16+Engagements!K38</f>
        <v>376.7</v>
      </c>
      <c r="L167" s="67" t="n">
        <f aca="false">Engagements!L16+Engagements!L38</f>
        <v>278</v>
      </c>
      <c r="M167" s="67" t="n">
        <f aca="false">Engagements!M16+Engagements!M38</f>
        <v>349.249866666667</v>
      </c>
      <c r="N167" s="67" t="n">
        <f aca="false">Engagements!N16+Engagements!N38</f>
        <v>336.450133333333</v>
      </c>
      <c r="O167" s="67" t="n">
        <f aca="false">Engagements!O16+Engagements!O38</f>
        <v>0</v>
      </c>
      <c r="P167" s="67" t="n">
        <f aca="false">Engagements!P16+Engagements!P38</f>
        <v>198.975369458128</v>
      </c>
      <c r="Q167" s="67" t="n">
        <f aca="false">Engagements!Q16+Engagements!Q38</f>
        <v>170.246305418719</v>
      </c>
      <c r="R167" s="67" t="n">
        <f aca="false">Engagements!R16+Engagements!R38</f>
        <v>175.566502463054</v>
      </c>
      <c r="S167" s="67" t="n">
        <f aca="false">Engagements!S16+Engagements!S38</f>
        <v>188.334975369458</v>
      </c>
      <c r="T167" s="67" t="n">
        <f aca="false">Engagements!T16+Engagements!T38</f>
        <v>196.847290640394</v>
      </c>
      <c r="U167" s="67" t="n">
        <f aca="false">Engagements!U16+Engagements!U38</f>
        <v>150.029556650246</v>
      </c>
      <c r="V167" s="67" t="n">
        <f aca="false">Engagements!V16+Engagements!V38</f>
        <v>0</v>
      </c>
      <c r="W167" s="67" t="n">
        <f aca="false">Engagements!W16+Engagements!W38</f>
        <v>0</v>
      </c>
      <c r="X167" s="67" t="n">
        <f aca="false">Engagements!X16+Engagements!X38</f>
        <v>0</v>
      </c>
      <c r="Y167" s="67" t="n">
        <f aca="false">Engagements!Y16+Engagements!Y38</f>
        <v>0</v>
      </c>
      <c r="Z167" s="67" t="n">
        <f aca="false">Engagements!Z16+Engagements!Z38</f>
        <v>0</v>
      </c>
      <c r="AA167" s="67" t="n">
        <f aca="false">Engagements!AA16+Engagements!AA38</f>
        <v>0</v>
      </c>
      <c r="AB167" s="67" t="n">
        <f aca="false">Engagements!AB16+Engagements!AB38</f>
        <v>0</v>
      </c>
    </row>
    <row r="168" customFormat="false" ht="15" hidden="false" customHeight="false" outlineLevel="0" collapsed="false">
      <c r="A168" s="29" t="s">
        <v>833</v>
      </c>
      <c r="B168" s="60" t="s">
        <v>51</v>
      </c>
      <c r="C168" s="61" t="n">
        <f aca="false">SUM(E168:P168)</f>
        <v>604729.635172414</v>
      </c>
      <c r="D168" s="61" t="n">
        <f aca="false">SUM(Q168:AB168)</f>
        <v>180229.44662069</v>
      </c>
      <c r="E168" s="62" t="n">
        <f aca="false">Engagements!E150+Engagements!E479</f>
        <v>0</v>
      </c>
      <c r="F168" s="62" t="n">
        <f aca="false">Engagements!F150+Engagements!F479</f>
        <v>58695.28</v>
      </c>
      <c r="G168" s="62" t="n">
        <f aca="false">Engagements!G150+Engagements!G479</f>
        <v>67979.52</v>
      </c>
      <c r="H168" s="62" t="n">
        <f aca="false">Engagements!H150+Engagements!H479</f>
        <v>58931.32</v>
      </c>
      <c r="I168" s="62" t="n">
        <f aca="false">Engagements!I150+Engagements!I479</f>
        <v>51771.44</v>
      </c>
      <c r="J168" s="62" t="n">
        <f aca="false">Engagements!J150+Engagements!J479</f>
        <v>64556.94</v>
      </c>
      <c r="K168" s="62" t="n">
        <f aca="false">Engagements!K150+Engagements!K479</f>
        <v>74096.89</v>
      </c>
      <c r="L168" s="62" t="n">
        <f aca="false">Engagements!L150+Engagements!L479</f>
        <v>54682.6</v>
      </c>
      <c r="M168" s="62" t="n">
        <f aca="false">Engagements!M150+Engagements!M479</f>
        <v>68697.4487733333</v>
      </c>
      <c r="N168" s="62" t="n">
        <f aca="false">Engagements!N150+Engagements!N479</f>
        <v>66179.7412266667</v>
      </c>
      <c r="O168" s="62" t="n">
        <f aca="false">Engagements!O150+Engagements!O479</f>
        <v>0</v>
      </c>
      <c r="P168" s="62" t="n">
        <f aca="false">Engagements!P150+Engagements!P479</f>
        <v>39138.4551724138</v>
      </c>
      <c r="Q168" s="62" t="n">
        <f aca="false">Engagements!Q150+Engagements!Q479</f>
        <v>34826.9462068966</v>
      </c>
      <c r="R168" s="62" t="n">
        <f aca="false">Engagements!R150+Engagements!R479</f>
        <v>35915.2882758621</v>
      </c>
      <c r="S168" s="62" t="n">
        <f aca="false">Engagements!S150+Engagements!S479</f>
        <v>38527.3092413793</v>
      </c>
      <c r="T168" s="62" t="n">
        <f aca="false">Engagements!T150+Engagements!T479</f>
        <v>40268.6565517242</v>
      </c>
      <c r="U168" s="62" t="n">
        <f aca="false">Engagements!U150+Engagements!U479</f>
        <v>30691.2463448276</v>
      </c>
      <c r="V168" s="62" t="n">
        <f aca="false">Engagements!V150+Engagements!V479</f>
        <v>0</v>
      </c>
      <c r="W168" s="62" t="n">
        <f aca="false">Engagements!W150+Engagements!W479</f>
        <v>0</v>
      </c>
      <c r="X168" s="62" t="n">
        <f aca="false">Engagements!X150+Engagements!X479</f>
        <v>0</v>
      </c>
      <c r="Y168" s="62" t="n">
        <f aca="false">Engagements!Y150+Engagements!Y479</f>
        <v>0</v>
      </c>
      <c r="Z168" s="62" t="n">
        <f aca="false">Engagements!Z150+Engagements!Z479</f>
        <v>0</v>
      </c>
      <c r="AA168" s="62" t="n">
        <f aca="false">Engagements!AA150+Engagements!AA479</f>
        <v>0</v>
      </c>
      <c r="AB168" s="62" t="n">
        <f aca="false">Engagements!AB150+Engagements!AB479</f>
        <v>0</v>
      </c>
    </row>
    <row r="169" customFormat="false" ht="15" hidden="false" customHeight="false" outlineLevel="0" collapsed="false">
      <c r="A169" s="29" t="s">
        <v>716</v>
      </c>
      <c r="B169" s="60" t="s">
        <v>51</v>
      </c>
      <c r="C169" s="61" t="n">
        <f aca="false">SUM(E169:P169)</f>
        <v>587775.293794146</v>
      </c>
      <c r="D169" s="61" t="n">
        <f aca="false">SUM(Q169:AB169)</f>
        <v>226488.997758502</v>
      </c>
      <c r="E169" s="62" t="n">
        <f aca="false">Engagements!E153+Engagements!E482+Engagements!E157+Engagements!E486</f>
        <v>0</v>
      </c>
      <c r="F169" s="62" t="n">
        <f aca="false">Engagements!F153+Engagements!F482+Engagements!F157+Engagements!F486</f>
        <v>0</v>
      </c>
      <c r="G169" s="62" t="n">
        <f aca="false">Engagements!G153+Engagements!G482+Engagements!G157+Engagements!G486</f>
        <v>61937.19</v>
      </c>
      <c r="H169" s="62" t="n">
        <f aca="false">Engagements!H153+Engagements!H482+Engagements!H157+Engagements!H486</f>
        <v>69627.27</v>
      </c>
      <c r="I169" s="62" t="n">
        <f aca="false">Engagements!I153+Engagements!I482+Engagements!I157+Engagements!I486</f>
        <v>60351.18</v>
      </c>
      <c r="J169" s="62" t="n">
        <f aca="false">Engagements!J153+Engagements!J482+Engagements!J157+Engagements!J486</f>
        <v>53195.07</v>
      </c>
      <c r="K169" s="62" t="n">
        <f aca="false">Engagements!K153+Engagements!K482+Engagements!K157+Engagements!K486</f>
        <v>67816.26</v>
      </c>
      <c r="L169" s="62" t="n">
        <f aca="false">Engagements!L153+Engagements!L482+Engagements!L157+Engagements!L486</f>
        <v>76666.28</v>
      </c>
      <c r="M169" s="62" t="n">
        <f aca="false">Engagements!M153+Engagements!M482+Engagements!M157+Engagements!M486</f>
        <v>58660.06</v>
      </c>
      <c r="N169" s="62" t="n">
        <f aca="false">Engagements!N153+Engagements!N482+Engagements!N157+Engagements!N486</f>
        <v>71063.1970791517</v>
      </c>
      <c r="O169" s="62" t="n">
        <f aca="false">Engagements!O153+Engagements!O482+Engagements!O157+Engagements!O486</f>
        <v>68458.7867149943</v>
      </c>
      <c r="P169" s="62" t="n">
        <f aca="false">Engagements!P153+Engagements!P482+Engagements!P157+Engagements!P486</f>
        <v>0</v>
      </c>
      <c r="Q169" s="62" t="n">
        <f aca="false">Engagements!Q153+Engagements!Q482+Engagements!Q157+Engagements!Q486</f>
        <v>40443.5445694581</v>
      </c>
      <c r="R169" s="62" t="n">
        <f aca="false">Engagements!R153+Engagements!R482+Engagements!R157+Engagements!R486</f>
        <v>35950.8122104434</v>
      </c>
      <c r="S169" s="62" t="n">
        <f aca="false">Engagements!S153+Engagements!S482+Engagements!S157+Engagements!S486</f>
        <v>37074.2750920197</v>
      </c>
      <c r="T169" s="62" t="n">
        <f aca="false">Engagements!T153+Engagements!T482+Engagements!T157+Engagements!T486</f>
        <v>39770.586007803</v>
      </c>
      <c r="U169" s="62" t="n">
        <f aca="false">Engagements!U153+Engagements!U482+Engagements!U157+Engagements!U486</f>
        <v>41568.1266183251</v>
      </c>
      <c r="V169" s="62" t="n">
        <f aca="false">Engagements!V153+Engagements!V482+Engagements!V157+Engagements!V486</f>
        <v>31681.6532604532</v>
      </c>
      <c r="W169" s="62" t="n">
        <f aca="false">Engagements!W153+Engagements!W482+Engagements!W157+Engagements!W486</f>
        <v>0</v>
      </c>
      <c r="X169" s="62" t="n">
        <f aca="false">Engagements!X153+Engagements!X482+Engagements!X157+Engagements!X486</f>
        <v>0</v>
      </c>
      <c r="Y169" s="62" t="n">
        <f aca="false">Engagements!Y153+Engagements!Y482+Engagements!Y157+Engagements!Y486</f>
        <v>0</v>
      </c>
      <c r="Z169" s="62" t="n">
        <f aca="false">Engagements!Z153+Engagements!Z482+Engagements!Z157+Engagements!Z486</f>
        <v>0</v>
      </c>
      <c r="AA169" s="62" t="n">
        <f aca="false">Engagements!AA153+Engagements!AA482+Engagements!AA157+Engagements!AA486</f>
        <v>0</v>
      </c>
      <c r="AB169" s="62" t="n">
        <f aca="false">Engagements!AB153+Engagements!AB482+Engagements!AB157+Engagements!AB486</f>
        <v>0</v>
      </c>
    </row>
    <row r="170" customFormat="false" ht="15" hidden="false" customHeight="false" outlineLevel="0" collapsed="false">
      <c r="A170" s="29" t="s">
        <v>949</v>
      </c>
      <c r="B170" s="60" t="s">
        <v>950</v>
      </c>
      <c r="C170" s="61" t="n">
        <f aca="false">SUM(E170:P170)</f>
        <v>0</v>
      </c>
      <c r="D170" s="61" t="n">
        <f aca="false">SUM(Q170:AB170)</f>
        <v>0</v>
      </c>
      <c r="E170" s="62" t="n">
        <f aca="false">E169*Client_Register!$E$18</f>
        <v>0</v>
      </c>
      <c r="F170" s="62" t="n">
        <f aca="false">F169*Client_Register!$E$18</f>
        <v>0</v>
      </c>
      <c r="G170" s="62" t="n">
        <f aca="false">G169*Client_Register!$E$18</f>
        <v>0</v>
      </c>
      <c r="H170" s="62" t="n">
        <f aca="false">H169*Client_Register!$E$18</f>
        <v>0</v>
      </c>
      <c r="I170" s="62" t="n">
        <f aca="false">I169*Client_Register!$E$18</f>
        <v>0</v>
      </c>
      <c r="J170" s="62" t="n">
        <f aca="false">J169*Client_Register!$E$18</f>
        <v>0</v>
      </c>
      <c r="K170" s="62" t="n">
        <f aca="false">K169*Client_Register!$E$18</f>
        <v>0</v>
      </c>
      <c r="L170" s="62" t="n">
        <f aca="false">L169*Client_Register!$E$18</f>
        <v>0</v>
      </c>
      <c r="M170" s="62" t="n">
        <f aca="false">M169*Client_Register!$E$18</f>
        <v>0</v>
      </c>
      <c r="N170" s="62" t="n">
        <f aca="false">N169*Client_Register!$E$18</f>
        <v>0</v>
      </c>
      <c r="O170" s="62" t="n">
        <f aca="false">O169*Client_Register!$E$18</f>
        <v>0</v>
      </c>
      <c r="P170" s="62" t="n">
        <f aca="false">P169*Client_Register!$E$18</f>
        <v>0</v>
      </c>
      <c r="Q170" s="62" t="n">
        <f aca="false">Q169*Client_Register!$E$18</f>
        <v>0</v>
      </c>
      <c r="R170" s="62" t="n">
        <f aca="false">R169*Client_Register!$E$18</f>
        <v>0</v>
      </c>
      <c r="S170" s="62" t="n">
        <f aca="false">S169*Client_Register!$E$18</f>
        <v>0</v>
      </c>
      <c r="T170" s="62" t="n">
        <f aca="false">T169*Client_Register!$E$18</f>
        <v>0</v>
      </c>
      <c r="U170" s="62" t="n">
        <f aca="false">U169*Client_Register!$E$18</f>
        <v>0</v>
      </c>
      <c r="V170" s="62" t="n">
        <f aca="false">V169*Client_Register!$E$18</f>
        <v>0</v>
      </c>
      <c r="W170" s="62" t="n">
        <f aca="false">W169*Client_Register!$E$18</f>
        <v>0</v>
      </c>
      <c r="X170" s="62" t="n">
        <f aca="false">X169*Client_Register!$E$18</f>
        <v>0</v>
      </c>
      <c r="Y170" s="62" t="n">
        <f aca="false">Y169*Client_Register!$E$18</f>
        <v>0</v>
      </c>
      <c r="Z170" s="62" t="n">
        <f aca="false">Z169*Client_Register!$E$18</f>
        <v>0</v>
      </c>
      <c r="AA170" s="62" t="n">
        <f aca="false">AA169*Client_Register!$E$18</f>
        <v>0</v>
      </c>
      <c r="AB170" s="62" t="n">
        <f aca="false">AB169*Client_Register!$E$18</f>
        <v>0</v>
      </c>
    </row>
    <row r="171" customFormat="false" ht="15" hidden="false" customHeight="false" outlineLevel="0" collapsed="false">
      <c r="A171" s="68" t="s">
        <v>951</v>
      </c>
      <c r="B171" s="69"/>
      <c r="C171" s="70" t="n">
        <f aca="false">SUM(E171:P171)</f>
        <v>587775.293794146</v>
      </c>
      <c r="D171" s="70" t="n">
        <f aca="false">SUM(Q171:AB171)</f>
        <v>226488.997758502</v>
      </c>
      <c r="E171" s="70" t="n">
        <f aca="false">E169+E170</f>
        <v>0</v>
      </c>
      <c r="F171" s="70" t="n">
        <f aca="false">F169+F170</f>
        <v>0</v>
      </c>
      <c r="G171" s="70" t="n">
        <f aca="false">G169+G170</f>
        <v>61937.19</v>
      </c>
      <c r="H171" s="70" t="n">
        <f aca="false">H169+H170</f>
        <v>69627.27</v>
      </c>
      <c r="I171" s="70" t="n">
        <f aca="false">I169+I170</f>
        <v>60351.18</v>
      </c>
      <c r="J171" s="70" t="n">
        <f aca="false">J169+J170</f>
        <v>53195.07</v>
      </c>
      <c r="K171" s="70" t="n">
        <f aca="false">K169+K170</f>
        <v>67816.26</v>
      </c>
      <c r="L171" s="70" t="n">
        <f aca="false">L169+L170</f>
        <v>76666.28</v>
      </c>
      <c r="M171" s="70" t="n">
        <f aca="false">M169+M170</f>
        <v>58660.06</v>
      </c>
      <c r="N171" s="70" t="n">
        <f aca="false">N169+N170</f>
        <v>71063.1970791517</v>
      </c>
      <c r="O171" s="70" t="n">
        <f aca="false">O169+O170</f>
        <v>68458.7867149943</v>
      </c>
      <c r="P171" s="70" t="n">
        <f aca="false">P169+P170</f>
        <v>0</v>
      </c>
      <c r="Q171" s="70" t="n">
        <f aca="false">Q169+Q170</f>
        <v>40443.5445694581</v>
      </c>
      <c r="R171" s="70" t="n">
        <f aca="false">R169+R170</f>
        <v>35950.8122104434</v>
      </c>
      <c r="S171" s="70" t="n">
        <f aca="false">S169+S170</f>
        <v>37074.2750920197</v>
      </c>
      <c r="T171" s="70" t="n">
        <f aca="false">T169+T170</f>
        <v>39770.586007803</v>
      </c>
      <c r="U171" s="70" t="n">
        <f aca="false">U169+U170</f>
        <v>41568.1266183251</v>
      </c>
      <c r="V171" s="70" t="n">
        <f aca="false">V169+V170</f>
        <v>31681.6532604532</v>
      </c>
      <c r="W171" s="70" t="n">
        <f aca="false">W169+W170</f>
        <v>0</v>
      </c>
      <c r="X171" s="70" t="n">
        <f aca="false">X169+X170</f>
        <v>0</v>
      </c>
      <c r="Y171" s="70" t="n">
        <f aca="false">Y169+Y170</f>
        <v>0</v>
      </c>
      <c r="Z171" s="70" t="n">
        <f aca="false">Z169+Z170</f>
        <v>0</v>
      </c>
      <c r="AA171" s="70" t="n">
        <f aca="false">AA169+AA170</f>
        <v>0</v>
      </c>
      <c r="AB171" s="70" t="n">
        <f aca="false">AB169+AB170</f>
        <v>0</v>
      </c>
    </row>
    <row r="172" customFormat="false" ht="15" hidden="false" customHeight="false" outlineLevel="0" collapsed="false">
      <c r="A172" s="29" t="s">
        <v>952</v>
      </c>
      <c r="B172" s="60" t="s">
        <v>953</v>
      </c>
      <c r="C172" s="61" t="n">
        <f aca="false">SUM(E172:P172)</f>
        <v>587775.293794146</v>
      </c>
      <c r="D172" s="61" t="n">
        <f aca="false">SUM(Q172:AB172)</f>
        <v>226488.997758502</v>
      </c>
      <c r="E172" s="62" t="n">
        <f aca="false">IF(E$5="A",Inputs_Actuals!E115,Client_Register!$J$18+E171-(E171*MIN(1,Client_Register!$I$18/30)+0*MIN(1,MAX(0,(Client_Register!$I$18-30)/30))+0*MIN(1,MAX(0,(Client_Register!$I$18-60)/30))))</f>
        <v>0</v>
      </c>
      <c r="F172" s="62" t="n">
        <f aca="false">IF(F$5="A",Inputs_Actuals!F115,E173+F171-(F171*MIN(1,Client_Register!$I$18/30)+E171*MIN(1,MAX(0,(Client_Register!$I$18-30)/30))+0*MIN(1,MAX(0,(Client_Register!$I$18-60)/30))))</f>
        <v>0</v>
      </c>
      <c r="G172" s="62" t="n">
        <f aca="false">IF(G$5="A",Inputs_Actuals!G115,F173+G171-(G171*MIN(1,Client_Register!$I$18/30)+F171*MIN(1,MAX(0,(Client_Register!$I$18-30)/30))+E171*MIN(1,MAX(0,(Client_Register!$I$18-60)/30))))</f>
        <v>2465.4</v>
      </c>
      <c r="H172" s="62" t="n">
        <f aca="false">IF(H$5="A",Inputs_Actuals!H115,G173+H171-(H171*MIN(1,Client_Register!$I$18/30)+G171*MIN(1,MAX(0,(Client_Register!$I$18-30)/30))+F171*MIN(1,MAX(0,(Client_Register!$I$18-60)/30))))</f>
        <v>60162.51</v>
      </c>
      <c r="I172" s="62" t="n">
        <f aca="false">IF(I$5="A",Inputs_Actuals!I115,H173+I171-(I171*MIN(1,Client_Register!$I$18/30)+H171*MIN(1,MAX(0,(Client_Register!$I$18-30)/30))+G171*MIN(1,MAX(0,(Client_Register!$I$18-60)/30))))</f>
        <v>64736.71</v>
      </c>
      <c r="J172" s="62" t="n">
        <f aca="false">IF(J$5="A",Inputs_Actuals!J115,I173+J171-(J171*MIN(1,Client_Register!$I$18/30)+I171*MIN(1,MAX(0,(Client_Register!$I$18-30)/30))+H171*MIN(1,MAX(0,(Client_Register!$I$18-60)/30))))</f>
        <v>65875.04</v>
      </c>
      <c r="K172" s="62" t="n">
        <f aca="false">IF(K$5="A",Inputs_Actuals!K115,J173+K171-(K171*MIN(1,Client_Register!$I$18/30)+J171*MIN(1,MAX(0,(Client_Register!$I$18-30)/30))+I171*MIN(1,MAX(0,(Client_Register!$I$18-60)/30))))</f>
        <v>54028.69</v>
      </c>
      <c r="L172" s="62" t="n">
        <f aca="false">IF(L$5="A",Inputs_Actuals!L115,K173+L171-(L171*MIN(1,Client_Register!$I$18/30)+K171*MIN(1,MAX(0,(Client_Register!$I$18-30)/30))+J171*MIN(1,MAX(0,(Client_Register!$I$18-60)/30))))</f>
        <v>64257.38</v>
      </c>
      <c r="M172" s="62" t="n">
        <f aca="false">IF(M$5="A",Inputs_Actuals!M115,L173+M171-(M171*MIN(1,Client_Register!$I$18/30)+L171*MIN(1,MAX(0,(Client_Register!$I$18-30)/30))+K171*MIN(1,MAX(0,(Client_Register!$I$18-60)/30))))</f>
        <v>78067.52</v>
      </c>
      <c r="N172" s="62" t="n">
        <f aca="false">IF(N$5="A",Inputs_Actuals!N115,M173+N171-(N171*MIN(1,Client_Register!$I$18/30)+M171*MIN(1,MAX(0,(Client_Register!$I$18-30)/30))+L171*MIN(1,MAX(0,(Client_Register!$I$18-60)/30))))</f>
        <v>58660.06</v>
      </c>
      <c r="O172" s="62" t="n">
        <f aca="false">IF(O$5="A",Inputs_Actuals!O115,N173+O171-(O171*MIN(1,Client_Register!$I$18/30)+N171*MIN(1,MAX(0,(Client_Register!$I$18-30)/30))+M171*MIN(1,MAX(0,(Client_Register!$I$18-60)/30))))</f>
        <v>71063.1970791517</v>
      </c>
      <c r="P172" s="62" t="n">
        <f aca="false">IF(P$5="A",Inputs_Actuals!P115,O173+P171-(P171*MIN(1,Client_Register!$I$18/30)+O171*MIN(1,MAX(0,(Client_Register!$I$18-30)/30))+N171*MIN(1,MAX(0,(Client_Register!$I$18-60)/30))))</f>
        <v>68458.7867149943</v>
      </c>
      <c r="Q172" s="62" t="n">
        <f aca="false">IF(Q$5="A",Inputs_Actuals!Q115,P173+Q171-(Q171*MIN(1,Client_Register!$I$18/30)+P171*MIN(1,MAX(0,(Client_Register!$I$18-30)/30))+O171*MIN(1,MAX(0,(Client_Register!$I$18-60)/30))))</f>
        <v>0</v>
      </c>
      <c r="R172" s="62" t="n">
        <f aca="false">IF(R$5="A",Inputs_Actuals!R115,Q173+R171-(R171*MIN(1,Client_Register!$I$18/30)+Q171*MIN(1,MAX(0,(Client_Register!$I$18-30)/30))+P171*MIN(1,MAX(0,(Client_Register!$I$18-60)/30))))</f>
        <v>40443.5445694581</v>
      </c>
      <c r="S172" s="62" t="n">
        <f aca="false">IF(S$5="A",Inputs_Actuals!S115,R173+S171-(S171*MIN(1,Client_Register!$I$18/30)+R171*MIN(1,MAX(0,(Client_Register!$I$18-30)/30))+Q171*MIN(1,MAX(0,(Client_Register!$I$18-60)/30))))</f>
        <v>35950.8122104433</v>
      </c>
      <c r="T172" s="62" t="n">
        <f aca="false">IF(T$5="A",Inputs_Actuals!T115,S173+T171-(T171*MIN(1,Client_Register!$I$18/30)+S171*MIN(1,MAX(0,(Client_Register!$I$18-30)/30))+R171*MIN(1,MAX(0,(Client_Register!$I$18-60)/30))))</f>
        <v>37074.2750920197</v>
      </c>
      <c r="U172" s="62" t="n">
        <f aca="false">IF(U$5="A",Inputs_Actuals!U115,T173+U171-(U171*MIN(1,Client_Register!$I$18/30)+T171*MIN(1,MAX(0,(Client_Register!$I$18-30)/30))+S171*MIN(1,MAX(0,(Client_Register!$I$18-60)/30))))</f>
        <v>39770.586007803</v>
      </c>
      <c r="V172" s="62" t="n">
        <f aca="false">IF(V$5="A",Inputs_Actuals!V115,U173+V171-(V171*MIN(1,Client_Register!$I$18/30)+U171*MIN(1,MAX(0,(Client_Register!$I$18-30)/30))+T171*MIN(1,MAX(0,(Client_Register!$I$18-60)/30))))</f>
        <v>41568.1266183251</v>
      </c>
      <c r="W172" s="62" t="n">
        <f aca="false">IF(W$5="A",Inputs_Actuals!W115,V173+W171-(W171*MIN(1,Client_Register!$I$18/30)+V171*MIN(1,MAX(0,(Client_Register!$I$18-30)/30))+U171*MIN(1,MAX(0,(Client_Register!$I$18-60)/30))))</f>
        <v>31681.6532604532</v>
      </c>
      <c r="X172" s="62" t="n">
        <f aca="false">IF(X$5="A",Inputs_Actuals!X115,W173+X171-(X171*MIN(1,Client_Register!$I$18/30)+W171*MIN(1,MAX(0,(Client_Register!$I$18-30)/30))+V171*MIN(1,MAX(0,(Client_Register!$I$18-60)/30))))</f>
        <v>0</v>
      </c>
      <c r="Y172" s="62" t="n">
        <f aca="false">IF(Y$5="A",Inputs_Actuals!Y115,X173+Y171-(Y171*MIN(1,Client_Register!$I$18/30)+X171*MIN(1,MAX(0,(Client_Register!$I$18-30)/30))+W171*MIN(1,MAX(0,(Client_Register!$I$18-60)/30))))</f>
        <v>0</v>
      </c>
      <c r="Z172" s="62" t="n">
        <f aca="false">IF(Z$5="A",Inputs_Actuals!Z115,Y173+Z171-(Z171*MIN(1,Client_Register!$I$18/30)+Y171*MIN(1,MAX(0,(Client_Register!$I$18-30)/30))+X171*MIN(1,MAX(0,(Client_Register!$I$18-60)/30))))</f>
        <v>0</v>
      </c>
      <c r="AA172" s="62" t="n">
        <f aca="false">IF(AA$5="A",Inputs_Actuals!AA115,Z173+AA171-(AA171*MIN(1,Client_Register!$I$18/30)+Z171*MIN(1,MAX(0,(Client_Register!$I$18-30)/30))+Y171*MIN(1,MAX(0,(Client_Register!$I$18-60)/30))))</f>
        <v>0</v>
      </c>
      <c r="AB172" s="62" t="n">
        <f aca="false">IF(AB$5="A",Inputs_Actuals!AB115,AA173+AB171-(AB171*MIN(1,Client_Register!$I$18/30)+AA171*MIN(1,MAX(0,(Client_Register!$I$18-30)/30))+Z171*MIN(1,MAX(0,(Client_Register!$I$18-60)/30))))</f>
        <v>0</v>
      </c>
    </row>
    <row r="173" customFormat="false" ht="15" hidden="false" customHeight="false" outlineLevel="0" collapsed="false">
      <c r="A173" s="68" t="s">
        <v>954</v>
      </c>
      <c r="B173" s="69" t="s">
        <v>955</v>
      </c>
      <c r="C173" s="70" t="n">
        <f aca="false">P173</f>
        <v>0</v>
      </c>
      <c r="D173" s="70" t="n">
        <f aca="false">AB173</f>
        <v>0</v>
      </c>
      <c r="E173" s="74" t="n">
        <f aca="false">Client_Register!$J$18+E171-E172</f>
        <v>0</v>
      </c>
      <c r="F173" s="70" t="n">
        <f aca="false">E173+F171-F172</f>
        <v>0</v>
      </c>
      <c r="G173" s="70" t="n">
        <f aca="false">F173+G171-G172</f>
        <v>59471.79</v>
      </c>
      <c r="H173" s="70" t="n">
        <f aca="false">G173+H171-H172</f>
        <v>68936.55</v>
      </c>
      <c r="I173" s="70" t="n">
        <f aca="false">H173+I171-I172</f>
        <v>64551.02</v>
      </c>
      <c r="J173" s="70" t="n">
        <f aca="false">I173+J171-J172</f>
        <v>51871.05</v>
      </c>
      <c r="K173" s="70" t="n">
        <f aca="false">J173+K171-K172</f>
        <v>65658.62</v>
      </c>
      <c r="L173" s="70" t="n">
        <f aca="false">K173+L171-L172</f>
        <v>78067.52</v>
      </c>
      <c r="M173" s="70" t="n">
        <f aca="false">L173+M171-M172</f>
        <v>58660.06</v>
      </c>
      <c r="N173" s="70" t="n">
        <f aca="false">M173+N171-N172</f>
        <v>71063.1970791517</v>
      </c>
      <c r="O173" s="70" t="n">
        <f aca="false">N173+O171-O172</f>
        <v>68458.7867149943</v>
      </c>
      <c r="P173" s="70" t="n">
        <f aca="false">O173+P171-P172</f>
        <v>0</v>
      </c>
      <c r="Q173" s="70" t="n">
        <f aca="false">P173+Q171-Q172</f>
        <v>40443.5445694581</v>
      </c>
      <c r="R173" s="70" t="n">
        <f aca="false">Q173+R171-R172</f>
        <v>35950.8122104434</v>
      </c>
      <c r="S173" s="70" t="n">
        <f aca="false">R173+S171-S172</f>
        <v>37074.2750920197</v>
      </c>
      <c r="T173" s="70" t="n">
        <f aca="false">S173+T171-T172</f>
        <v>39770.586007803</v>
      </c>
      <c r="U173" s="70" t="n">
        <f aca="false">T173+U171-U172</f>
        <v>41568.1266183251</v>
      </c>
      <c r="V173" s="70" t="n">
        <f aca="false">U173+V171-V172</f>
        <v>31681.6532604532</v>
      </c>
      <c r="W173" s="70" t="n">
        <f aca="false">V173+W171-W172</f>
        <v>0</v>
      </c>
      <c r="X173" s="70" t="n">
        <f aca="false">W173+X171-X172</f>
        <v>0</v>
      </c>
      <c r="Y173" s="70" t="n">
        <f aca="false">X173+Y171-Y172</f>
        <v>0</v>
      </c>
      <c r="Z173" s="70" t="n">
        <f aca="false">Y173+Z171-Z172</f>
        <v>0</v>
      </c>
      <c r="AA173" s="70" t="n">
        <f aca="false">Z173+AA171-AA172</f>
        <v>0</v>
      </c>
      <c r="AB173" s="70" t="n">
        <f aca="false">AA173+AB171-AB172</f>
        <v>0</v>
      </c>
    </row>
    <row r="174" customFormat="false" ht="15" hidden="false" customHeight="false" outlineLevel="0" collapsed="false">
      <c r="A174" s="29" t="s">
        <v>956</v>
      </c>
      <c r="B174" s="60"/>
      <c r="C174" s="66" t="n">
        <f aca="false">P174</f>
        <v>0</v>
      </c>
      <c r="D174" s="66" t="n">
        <f aca="false">AB174</f>
        <v>0</v>
      </c>
      <c r="E174" s="67" t="n">
        <f aca="false">IFERROR(E173/SUM(E171:E171)*SUM(Assumptions!E$191:E$191),0)</f>
        <v>0</v>
      </c>
      <c r="F174" s="67" t="n">
        <f aca="false">IFERROR(F173/SUM(E171:F171)*SUM(Assumptions!E$191:F$191),0)</f>
        <v>0</v>
      </c>
      <c r="G174" s="67" t="n">
        <f aca="false">IFERROR(G173/SUM(E171:G171)*SUM(Assumptions!E$191:G$191),0)</f>
        <v>86.4175643099081</v>
      </c>
      <c r="H174" s="67" t="n">
        <f aca="false">IFERROR(H173/SUM(F171:H171)*SUM(Assumptions!F$191:H$191),0)</f>
        <v>46.6338169897858</v>
      </c>
      <c r="I174" s="67" t="n">
        <f aca="false">IFERROR(I173/SUM(G171:I171)*SUM(Assumptions!G$191:I$191),0)</f>
        <v>30.9442932321722</v>
      </c>
      <c r="J174" s="67" t="n">
        <f aca="false">IFERROR(J173/SUM(H171:J171)*SUM(Assumptions!H$191:J$191),0)</f>
        <v>25.7693663909499</v>
      </c>
      <c r="K174" s="67" t="n">
        <f aca="false">IFERROR(K173/SUM(I171:K171)*SUM(Assumptions!I$191:K$191),0)</f>
        <v>33.3067348924538</v>
      </c>
      <c r="L174" s="67" t="n">
        <f aca="false">IFERROR(L173/SUM(J171:L171)*SUM(Assumptions!J$191:L$191),0)</f>
        <v>36.3329556645287</v>
      </c>
      <c r="M174" s="67" t="n">
        <f aca="false">IFERROR(M173/SUM(K171:M171)*SUM(Assumptions!K$191:M$191),0)</f>
        <v>26.5661930092457</v>
      </c>
      <c r="N174" s="67" t="n">
        <f aca="false">IFERROR(N173/SUM(L171:N171)*SUM(Assumptions!L$191:N$191),0)</f>
        <v>31.6770618501589</v>
      </c>
      <c r="O174" s="67" t="n">
        <f aca="false">IFERROR(O173/SUM(M171:O171)*SUM(Assumptions!M$191:O$191),0)</f>
        <v>31.4344804998348</v>
      </c>
      <c r="P174" s="67" t="n">
        <f aca="false">IFERROR(P173/SUM(N171:P171)*SUM(Assumptions!N$191:P$191),0)</f>
        <v>0</v>
      </c>
      <c r="Q174" s="67" t="n">
        <f aca="false">IFERROR(Q173/SUM(O171:Q171)*SUM(Assumptions!O$191:Q$191),0)</f>
        <v>34.1664504010609</v>
      </c>
      <c r="R174" s="67" t="n">
        <f aca="false">IFERROR(R173/SUM(P171:R171)*SUM(Assumptions!P$191:R$191),0)</f>
        <v>42.3535616414948</v>
      </c>
      <c r="S174" s="67" t="n">
        <f aca="false">IFERROR(S173/SUM(Q171:S171)*SUM(Assumptions!Q$191:S$191),0)</f>
        <v>29.4062306316347</v>
      </c>
      <c r="T174" s="67" t="n">
        <f aca="false">IFERROR(T173/SUM(R171:T171)*SUM(Assumptions!R$191:T$191),0)</f>
        <v>31.3804780876494</v>
      </c>
      <c r="U174" s="67" t="n">
        <f aca="false">IFERROR(U173/SUM(S171:U171)*SUM(Assumptions!S$191:U$191),0)</f>
        <v>32.2960151802657</v>
      </c>
      <c r="V174" s="67" t="n">
        <f aca="false">IFERROR(V173/SUM(T171:V171)*SUM(Assumptions!T$191:V$191),0)</f>
        <v>25.5089463220676</v>
      </c>
      <c r="W174" s="67" t="n">
        <f aca="false">IFERROR(W173/SUM(U171:W171)*SUM(Assumptions!U$191:W$191),0)</f>
        <v>0</v>
      </c>
      <c r="X174" s="67" t="n">
        <f aca="false">IFERROR(X173/SUM(V171:X171)*SUM(Assumptions!V$191:X$191),0)</f>
        <v>0</v>
      </c>
      <c r="Y174" s="67" t="n">
        <f aca="false">IFERROR(Y173/SUM(W171:Y171)*SUM(Assumptions!W$191:Y$191),0)</f>
        <v>0</v>
      </c>
      <c r="Z174" s="67" t="n">
        <f aca="false">IFERROR(Z173/SUM(X171:Z171)*SUM(Assumptions!X$191:Z$191),0)</f>
        <v>0</v>
      </c>
      <c r="AA174" s="67" t="n">
        <f aca="false">IFERROR(AA173/SUM(Y171:AA171)*SUM(Assumptions!Y$191:AA$191),0)</f>
        <v>0</v>
      </c>
      <c r="AB174" s="67" t="n">
        <f aca="false">IFERROR(AB173/SUM(Z171:AB171)*SUM(Assumptions!Z$191:AB$191),0)</f>
        <v>0</v>
      </c>
    </row>
    <row r="175" customFormat="false" ht="15" hidden="false" customHeight="false" outlineLevel="0" collapsed="false">
      <c r="A175" s="29" t="s">
        <v>957</v>
      </c>
      <c r="B175" s="60" t="s">
        <v>51</v>
      </c>
      <c r="C175" s="61" t="n">
        <f aca="false">P175</f>
        <v>40443.5445694581</v>
      </c>
      <c r="D175" s="61" t="n">
        <f aca="false">AB175</f>
        <v>0</v>
      </c>
      <c r="E175" s="62" t="n">
        <f aca="false">Engagements!E158+Engagements!E487</f>
        <v>0</v>
      </c>
      <c r="F175" s="62" t="n">
        <f aca="false">Engagements!F158+Engagements!F487</f>
        <v>61937.19</v>
      </c>
      <c r="G175" s="62" t="n">
        <f aca="false">Engagements!G158+Engagements!G487</f>
        <v>69627.27</v>
      </c>
      <c r="H175" s="62" t="n">
        <f aca="false">Engagements!H158+Engagements!H487</f>
        <v>60351.18</v>
      </c>
      <c r="I175" s="62" t="n">
        <f aca="false">Engagements!I158+Engagements!I487</f>
        <v>53195.07</v>
      </c>
      <c r="J175" s="62" t="n">
        <f aca="false">Engagements!J158+Engagements!J487</f>
        <v>67816.26</v>
      </c>
      <c r="K175" s="62" t="n">
        <f aca="false">Engagements!K158+Engagements!K487</f>
        <v>76666.28</v>
      </c>
      <c r="L175" s="62" t="n">
        <f aca="false">Engagements!L158+Engagements!L487</f>
        <v>58660.06</v>
      </c>
      <c r="M175" s="62" t="n">
        <f aca="false">Engagements!M158+Engagements!M487</f>
        <v>71063.1970791517</v>
      </c>
      <c r="N175" s="62" t="n">
        <f aca="false">Engagements!N158+Engagements!N487</f>
        <v>68458.7867149943</v>
      </c>
      <c r="O175" s="62" t="n">
        <f aca="false">Engagements!O158+Engagements!O487</f>
        <v>0</v>
      </c>
      <c r="P175" s="62" t="n">
        <f aca="false">Engagements!P158+Engagements!P487</f>
        <v>40443.5445694581</v>
      </c>
      <c r="Q175" s="62" t="n">
        <f aca="false">Engagements!Q158+Engagements!Q487</f>
        <v>35950.8122104433</v>
      </c>
      <c r="R175" s="62" t="n">
        <f aca="false">Engagements!R158+Engagements!R487</f>
        <v>37074.2750920197</v>
      </c>
      <c r="S175" s="62" t="n">
        <f aca="false">Engagements!S158+Engagements!S487</f>
        <v>39770.586007803</v>
      </c>
      <c r="T175" s="62" t="n">
        <f aca="false">Engagements!T158+Engagements!T487</f>
        <v>41568.1266183251</v>
      </c>
      <c r="U175" s="62" t="n">
        <f aca="false">Engagements!U158+Engagements!U487</f>
        <v>31681.6532604532</v>
      </c>
      <c r="V175" s="62" t="n">
        <f aca="false">Engagements!V158+Engagements!V487</f>
        <v>0</v>
      </c>
      <c r="W175" s="62" t="n">
        <f aca="false">Engagements!W158+Engagements!W487</f>
        <v>0</v>
      </c>
      <c r="X175" s="62" t="n">
        <f aca="false">Engagements!X158+Engagements!X487</f>
        <v>0</v>
      </c>
      <c r="Y175" s="62" t="n">
        <f aca="false">Engagements!Y158+Engagements!Y487</f>
        <v>0</v>
      </c>
      <c r="Z175" s="62" t="n">
        <f aca="false">Engagements!Z158+Engagements!Z487</f>
        <v>0</v>
      </c>
      <c r="AA175" s="62" t="n">
        <f aca="false">Engagements!AA158+Engagements!AA487</f>
        <v>0</v>
      </c>
      <c r="AB175" s="62" t="n">
        <f aca="false">Engagements!AB158+Engagements!AB487</f>
        <v>0</v>
      </c>
    </row>
    <row r="177" customFormat="false" ht="15" hidden="false" customHeight="false" outlineLevel="0" collapsed="false">
      <c r="A177" s="23" t="s">
        <v>973</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row>
    <row r="178" customFormat="false" ht="15" hidden="false" customHeight="false" outlineLevel="0" collapsed="false">
      <c r="A178" s="29" t="s">
        <v>679</v>
      </c>
      <c r="B178" s="60" t="s">
        <v>51</v>
      </c>
      <c r="C178" s="61" t="n">
        <f aca="false">SUM(E178:P178)</f>
        <v>0</v>
      </c>
      <c r="D178" s="61" t="n">
        <f aca="false">SUM(Q178:AB178)</f>
        <v>94500</v>
      </c>
      <c r="E178" s="62" t="n">
        <f aca="false">Engagements!E469</f>
        <v>0</v>
      </c>
      <c r="F178" s="62" t="n">
        <f aca="false">Engagements!F469</f>
        <v>0</v>
      </c>
      <c r="G178" s="62" t="n">
        <f aca="false">Engagements!G469</f>
        <v>0</v>
      </c>
      <c r="H178" s="62" t="n">
        <f aca="false">Engagements!H469</f>
        <v>0</v>
      </c>
      <c r="I178" s="62" t="n">
        <f aca="false">Engagements!I469</f>
        <v>0</v>
      </c>
      <c r="J178" s="62" t="n">
        <f aca="false">Engagements!J469</f>
        <v>0</v>
      </c>
      <c r="K178" s="62" t="n">
        <f aca="false">Engagements!K469</f>
        <v>0</v>
      </c>
      <c r="L178" s="62" t="n">
        <f aca="false">Engagements!L469</f>
        <v>0</v>
      </c>
      <c r="M178" s="62" t="n">
        <f aca="false">Engagements!M469</f>
        <v>0</v>
      </c>
      <c r="N178" s="62" t="n">
        <f aca="false">Engagements!N469</f>
        <v>0</v>
      </c>
      <c r="O178" s="62" t="n">
        <f aca="false">Engagements!O469</f>
        <v>0</v>
      </c>
      <c r="P178" s="62" t="n">
        <f aca="false">Engagements!P469</f>
        <v>0</v>
      </c>
      <c r="Q178" s="62" t="n">
        <f aca="false">Engagements!Q469</f>
        <v>14838.076545633</v>
      </c>
      <c r="R178" s="62" t="n">
        <f aca="false">Engagements!R469</f>
        <v>15301.766437684</v>
      </c>
      <c r="S178" s="62" t="n">
        <f aca="false">Engagements!S469</f>
        <v>16414.6221786065</v>
      </c>
      <c r="T178" s="62" t="n">
        <f aca="false">Engagements!T469</f>
        <v>17156.5260058881</v>
      </c>
      <c r="U178" s="62" t="n">
        <f aca="false">Engagements!U469</f>
        <v>13076.0549558391</v>
      </c>
      <c r="V178" s="62" t="n">
        <f aca="false">Engagements!V469</f>
        <v>17712.9538763494</v>
      </c>
      <c r="W178" s="62" t="n">
        <f aca="false">Engagements!W469</f>
        <v>0</v>
      </c>
      <c r="X178" s="62" t="n">
        <f aca="false">Engagements!X469</f>
        <v>0</v>
      </c>
      <c r="Y178" s="62" t="n">
        <f aca="false">Engagements!Y469</f>
        <v>0</v>
      </c>
      <c r="Z178" s="62" t="n">
        <f aca="false">Engagements!Z469</f>
        <v>0</v>
      </c>
      <c r="AA178" s="62" t="n">
        <f aca="false">Engagements!AA469</f>
        <v>0</v>
      </c>
      <c r="AB178" s="62" t="n">
        <f aca="false">Engagements!AB469</f>
        <v>0</v>
      </c>
    </row>
    <row r="179" customFormat="false" ht="15" hidden="false" customHeight="false" outlineLevel="0" collapsed="false">
      <c r="A179" s="29" t="s">
        <v>498</v>
      </c>
      <c r="B179" s="60" t="s">
        <v>51</v>
      </c>
      <c r="C179" s="61" t="n">
        <f aca="false">SUM(E179:P179)</f>
        <v>0</v>
      </c>
      <c r="D179" s="61" t="n">
        <f aca="false">SUM(Q179:AB179)</f>
        <v>0</v>
      </c>
      <c r="E179" s="71" t="n">
        <f aca="false">0</f>
        <v>0</v>
      </c>
      <c r="F179" s="71" t="n">
        <f aca="false">0</f>
        <v>0</v>
      </c>
      <c r="G179" s="71" t="n">
        <f aca="false">0</f>
        <v>0</v>
      </c>
      <c r="H179" s="71" t="n">
        <f aca="false">0</f>
        <v>0</v>
      </c>
      <c r="I179" s="71" t="n">
        <f aca="false">0</f>
        <v>0</v>
      </c>
      <c r="J179" s="71" t="n">
        <f aca="false">0</f>
        <v>0</v>
      </c>
      <c r="K179" s="71" t="n">
        <f aca="false">0</f>
        <v>0</v>
      </c>
      <c r="L179" s="71" t="n">
        <f aca="false">0</f>
        <v>0</v>
      </c>
      <c r="M179" s="71" t="n">
        <f aca="false">0</f>
        <v>0</v>
      </c>
      <c r="N179" s="71" t="n">
        <f aca="false">0</f>
        <v>0</v>
      </c>
      <c r="O179" s="71" t="n">
        <f aca="false">0</f>
        <v>0</v>
      </c>
      <c r="P179" s="71" t="n">
        <f aca="false">0</f>
        <v>0</v>
      </c>
      <c r="Q179" s="71" t="n">
        <f aca="false">0</f>
        <v>0</v>
      </c>
      <c r="R179" s="71" t="n">
        <f aca="false">0</f>
        <v>0</v>
      </c>
      <c r="S179" s="71" t="n">
        <f aca="false">0</f>
        <v>0</v>
      </c>
      <c r="T179" s="71" t="n">
        <f aca="false">0</f>
        <v>0</v>
      </c>
      <c r="U179" s="71" t="n">
        <f aca="false">0</f>
        <v>0</v>
      </c>
      <c r="V179" s="71" t="n">
        <f aca="false">0</f>
        <v>0</v>
      </c>
      <c r="W179" s="71" t="n">
        <f aca="false">0</f>
        <v>0</v>
      </c>
      <c r="X179" s="71" t="n">
        <f aca="false">0</f>
        <v>0</v>
      </c>
      <c r="Y179" s="71" t="n">
        <f aca="false">0</f>
        <v>0</v>
      </c>
      <c r="Z179" s="71" t="n">
        <f aca="false">0</f>
        <v>0</v>
      </c>
      <c r="AA179" s="71" t="n">
        <f aca="false">0</f>
        <v>0</v>
      </c>
      <c r="AB179" s="71" t="n">
        <f aca="false">0</f>
        <v>0</v>
      </c>
    </row>
    <row r="180" customFormat="false" ht="15" hidden="false" customHeight="false" outlineLevel="0" collapsed="false">
      <c r="A180" s="68" t="s">
        <v>351</v>
      </c>
      <c r="B180" s="69"/>
      <c r="C180" s="70" t="n">
        <f aca="false">SUM(E180:P180)</f>
        <v>0</v>
      </c>
      <c r="D180" s="70" t="n">
        <f aca="false">SUM(Q180:AB180)</f>
        <v>94500</v>
      </c>
      <c r="E180" s="70" t="n">
        <f aca="false">E178+E179</f>
        <v>0</v>
      </c>
      <c r="F180" s="70" t="n">
        <f aca="false">F178+F179</f>
        <v>0</v>
      </c>
      <c r="G180" s="70" t="n">
        <f aca="false">G178+G179</f>
        <v>0</v>
      </c>
      <c r="H180" s="70" t="n">
        <f aca="false">H178+H179</f>
        <v>0</v>
      </c>
      <c r="I180" s="70" t="n">
        <f aca="false">I178+I179</f>
        <v>0</v>
      </c>
      <c r="J180" s="70" t="n">
        <f aca="false">J178+J179</f>
        <v>0</v>
      </c>
      <c r="K180" s="70" t="n">
        <f aca="false">K178+K179</f>
        <v>0</v>
      </c>
      <c r="L180" s="70" t="n">
        <f aca="false">L178+L179</f>
        <v>0</v>
      </c>
      <c r="M180" s="70" t="n">
        <f aca="false">M178+M179</f>
        <v>0</v>
      </c>
      <c r="N180" s="70" t="n">
        <f aca="false">N178+N179</f>
        <v>0</v>
      </c>
      <c r="O180" s="70" t="n">
        <f aca="false">O178+O179</f>
        <v>0</v>
      </c>
      <c r="P180" s="70" t="n">
        <f aca="false">P178+P179</f>
        <v>0</v>
      </c>
      <c r="Q180" s="70" t="n">
        <f aca="false">Q178+Q179</f>
        <v>14838.076545633</v>
      </c>
      <c r="R180" s="70" t="n">
        <f aca="false">R178+R179</f>
        <v>15301.766437684</v>
      </c>
      <c r="S180" s="70" t="n">
        <f aca="false">S178+S179</f>
        <v>16414.6221786065</v>
      </c>
      <c r="T180" s="70" t="n">
        <f aca="false">T178+T179</f>
        <v>17156.5260058881</v>
      </c>
      <c r="U180" s="70" t="n">
        <f aca="false">U178+U179</f>
        <v>13076.0549558391</v>
      </c>
      <c r="V180" s="70" t="n">
        <f aca="false">V178+V179</f>
        <v>17712.9538763494</v>
      </c>
      <c r="W180" s="70" t="n">
        <f aca="false">W178+W179</f>
        <v>0</v>
      </c>
      <c r="X180" s="70" t="n">
        <f aca="false">X178+X179</f>
        <v>0</v>
      </c>
      <c r="Y180" s="70" t="n">
        <f aca="false">Y178+Y179</f>
        <v>0</v>
      </c>
      <c r="Z180" s="70" t="n">
        <f aca="false">Z178+Z179</f>
        <v>0</v>
      </c>
      <c r="AA180" s="70" t="n">
        <f aca="false">AA178+AA179</f>
        <v>0</v>
      </c>
      <c r="AB180" s="70" t="n">
        <f aca="false">AB178+AB179</f>
        <v>0</v>
      </c>
    </row>
    <row r="181" customFormat="false" ht="15" hidden="false" customHeight="false" outlineLevel="0" collapsed="false">
      <c r="A181" s="29" t="s">
        <v>901</v>
      </c>
      <c r="B181" s="60" t="s">
        <v>51</v>
      </c>
      <c r="C181" s="66" t="n">
        <f aca="false">SUM(E181:P181)</f>
        <v>0</v>
      </c>
      <c r="D181" s="66" t="n">
        <f aca="false">SUM(Q181:AB181)</f>
        <v>551.25</v>
      </c>
      <c r="E181" s="67" t="n">
        <f aca="false">Engagements!E37</f>
        <v>0</v>
      </c>
      <c r="F181" s="67" t="n">
        <f aca="false">Engagements!F37</f>
        <v>0</v>
      </c>
      <c r="G181" s="67" t="n">
        <f aca="false">Engagements!G37</f>
        <v>0</v>
      </c>
      <c r="H181" s="67" t="n">
        <f aca="false">Engagements!H37</f>
        <v>0</v>
      </c>
      <c r="I181" s="67" t="n">
        <f aca="false">Engagements!I37</f>
        <v>0</v>
      </c>
      <c r="J181" s="67" t="n">
        <f aca="false">Engagements!J37</f>
        <v>0</v>
      </c>
      <c r="K181" s="67" t="n">
        <f aca="false">Engagements!K37</f>
        <v>0</v>
      </c>
      <c r="L181" s="67" t="n">
        <f aca="false">Engagements!L37</f>
        <v>0</v>
      </c>
      <c r="M181" s="67" t="n">
        <f aca="false">Engagements!M37</f>
        <v>0</v>
      </c>
      <c r="N181" s="67" t="n">
        <f aca="false">Engagements!N37</f>
        <v>0</v>
      </c>
      <c r="O181" s="67" t="n">
        <f aca="false">Engagements!O37</f>
        <v>0</v>
      </c>
      <c r="P181" s="67" t="n">
        <f aca="false">Engagements!P37</f>
        <v>0</v>
      </c>
      <c r="Q181" s="67" t="n">
        <f aca="false">Engagements!Q37</f>
        <v>86.5554465161924</v>
      </c>
      <c r="R181" s="67" t="n">
        <f aca="false">Engagements!R37</f>
        <v>89.2603042198234</v>
      </c>
      <c r="S181" s="67" t="n">
        <f aca="false">Engagements!S37</f>
        <v>95.7519627085378</v>
      </c>
      <c r="T181" s="67" t="n">
        <f aca="false">Engagements!T37</f>
        <v>100.079735034347</v>
      </c>
      <c r="U181" s="67" t="n">
        <f aca="false">Engagements!U37</f>
        <v>76.2769872423945</v>
      </c>
      <c r="V181" s="67" t="n">
        <f aca="false">Engagements!V37</f>
        <v>103.325564278705</v>
      </c>
      <c r="W181" s="67" t="n">
        <f aca="false">Engagements!W37</f>
        <v>0</v>
      </c>
      <c r="X181" s="67" t="n">
        <f aca="false">Engagements!X37</f>
        <v>0</v>
      </c>
      <c r="Y181" s="67" t="n">
        <f aca="false">Engagements!Y37</f>
        <v>0</v>
      </c>
      <c r="Z181" s="67" t="n">
        <f aca="false">Engagements!Z37</f>
        <v>0</v>
      </c>
      <c r="AA181" s="67" t="n">
        <f aca="false">Engagements!AA37</f>
        <v>0</v>
      </c>
      <c r="AB181" s="67" t="n">
        <f aca="false">Engagements!AB37</f>
        <v>0</v>
      </c>
    </row>
    <row r="182" customFormat="false" ht="15" hidden="false" customHeight="false" outlineLevel="0" collapsed="false">
      <c r="A182" s="29" t="s">
        <v>833</v>
      </c>
      <c r="B182" s="60" t="s">
        <v>51</v>
      </c>
      <c r="C182" s="61" t="n">
        <f aca="false">SUM(E182:P182)</f>
        <v>0</v>
      </c>
      <c r="D182" s="61" t="n">
        <f aca="false">SUM(Q182:AB182)</f>
        <v>112768.11</v>
      </c>
      <c r="E182" s="62" t="n">
        <f aca="false">Engagements!E466</f>
        <v>0</v>
      </c>
      <c r="F182" s="62" t="n">
        <f aca="false">Engagements!F466</f>
        <v>0</v>
      </c>
      <c r="G182" s="62" t="n">
        <f aca="false">Engagements!G466</f>
        <v>0</v>
      </c>
      <c r="H182" s="62" t="n">
        <f aca="false">Engagements!H466</f>
        <v>0</v>
      </c>
      <c r="I182" s="62" t="n">
        <f aca="false">Engagements!I466</f>
        <v>0</v>
      </c>
      <c r="J182" s="62" t="n">
        <f aca="false">Engagements!J466</f>
        <v>0</v>
      </c>
      <c r="K182" s="62" t="n">
        <f aca="false">Engagements!K466</f>
        <v>0</v>
      </c>
      <c r="L182" s="62" t="n">
        <f aca="false">Engagements!L466</f>
        <v>0</v>
      </c>
      <c r="M182" s="62" t="n">
        <f aca="false">Engagements!M466</f>
        <v>0</v>
      </c>
      <c r="N182" s="62" t="n">
        <f aca="false">Engagements!N466</f>
        <v>0</v>
      </c>
      <c r="O182" s="62" t="n">
        <f aca="false">Engagements!O466</f>
        <v>0</v>
      </c>
      <c r="P182" s="62" t="n">
        <f aca="false">Engagements!P466</f>
        <v>0</v>
      </c>
      <c r="Q182" s="62" t="n">
        <f aca="false">Engagements!Q466</f>
        <v>17706.4745829244</v>
      </c>
      <c r="R182" s="62" t="n">
        <f aca="false">Engagements!R466</f>
        <v>18259.8019136408</v>
      </c>
      <c r="S182" s="62" t="n">
        <f aca="false">Engagements!S466</f>
        <v>19587.7875073602</v>
      </c>
      <c r="T182" s="62" t="n">
        <f aca="false">Engagements!T466</f>
        <v>20473.1112365064</v>
      </c>
      <c r="U182" s="62" t="n">
        <f aca="false">Engagements!U466</f>
        <v>15603.8307262022</v>
      </c>
      <c r="V182" s="62" t="n">
        <f aca="false">Engagements!V466</f>
        <v>21137.104033366</v>
      </c>
      <c r="W182" s="62" t="n">
        <f aca="false">Engagements!W466</f>
        <v>0</v>
      </c>
      <c r="X182" s="62" t="n">
        <f aca="false">Engagements!X466</f>
        <v>0</v>
      </c>
      <c r="Y182" s="62" t="n">
        <f aca="false">Engagements!Y466</f>
        <v>0</v>
      </c>
      <c r="Z182" s="62" t="n">
        <f aca="false">Engagements!Z466</f>
        <v>0</v>
      </c>
      <c r="AA182" s="62" t="n">
        <f aca="false">Engagements!AA466</f>
        <v>0</v>
      </c>
      <c r="AB182" s="62" t="n">
        <f aca="false">Engagements!AB466</f>
        <v>0</v>
      </c>
    </row>
    <row r="183" customFormat="false" ht="15" hidden="false" customHeight="false" outlineLevel="0" collapsed="false">
      <c r="A183" s="29" t="s">
        <v>716</v>
      </c>
      <c r="B183" s="60" t="s">
        <v>51</v>
      </c>
      <c r="C183" s="61" t="n">
        <f aca="false">SUM(E183:P183)</f>
        <v>0</v>
      </c>
      <c r="D183" s="61" t="n">
        <f aca="false">SUM(Q183:AB183)</f>
        <v>94500</v>
      </c>
      <c r="E183" s="62" t="n">
        <f aca="false">Engagements!E471</f>
        <v>0</v>
      </c>
      <c r="F183" s="62" t="n">
        <f aca="false">Engagements!F471</f>
        <v>0</v>
      </c>
      <c r="G183" s="62" t="n">
        <f aca="false">Engagements!G471</f>
        <v>0</v>
      </c>
      <c r="H183" s="62" t="n">
        <f aca="false">Engagements!H471</f>
        <v>0</v>
      </c>
      <c r="I183" s="62" t="n">
        <f aca="false">Engagements!I471</f>
        <v>0</v>
      </c>
      <c r="J183" s="62" t="n">
        <f aca="false">Engagements!J471</f>
        <v>0</v>
      </c>
      <c r="K183" s="62" t="n">
        <f aca="false">Engagements!K471</f>
        <v>0</v>
      </c>
      <c r="L183" s="62" t="n">
        <f aca="false">Engagements!L471</f>
        <v>0</v>
      </c>
      <c r="M183" s="62" t="n">
        <f aca="false">Engagements!M471</f>
        <v>0</v>
      </c>
      <c r="N183" s="62" t="n">
        <f aca="false">Engagements!N471</f>
        <v>0</v>
      </c>
      <c r="O183" s="62" t="n">
        <f aca="false">Engagements!O471</f>
        <v>0</v>
      </c>
      <c r="P183" s="62" t="n">
        <f aca="false">Engagements!P471</f>
        <v>0</v>
      </c>
      <c r="Q183" s="62" t="n">
        <f aca="false">Engagements!Q471</f>
        <v>28350</v>
      </c>
      <c r="R183" s="62" t="n">
        <f aca="false">Engagements!R471</f>
        <v>0</v>
      </c>
      <c r="S183" s="62" t="n">
        <f aca="false">Engagements!S471</f>
        <v>0</v>
      </c>
      <c r="T183" s="62" t="n">
        <f aca="false">Engagements!T471</f>
        <v>37800</v>
      </c>
      <c r="U183" s="62" t="n">
        <f aca="false">Engagements!U471</f>
        <v>0</v>
      </c>
      <c r="V183" s="62" t="n">
        <f aca="false">Engagements!V471</f>
        <v>28350</v>
      </c>
      <c r="W183" s="62" t="n">
        <f aca="false">Engagements!W471</f>
        <v>0</v>
      </c>
      <c r="X183" s="62" t="n">
        <f aca="false">Engagements!X471</f>
        <v>0</v>
      </c>
      <c r="Y183" s="62" t="n">
        <f aca="false">Engagements!Y471</f>
        <v>0</v>
      </c>
      <c r="Z183" s="62" t="n">
        <f aca="false">Engagements!Z471</f>
        <v>0</v>
      </c>
      <c r="AA183" s="62" t="n">
        <f aca="false">Engagements!AA471</f>
        <v>0</v>
      </c>
      <c r="AB183" s="62" t="n">
        <f aca="false">Engagements!AB471</f>
        <v>0</v>
      </c>
    </row>
    <row r="184" customFormat="false" ht="15" hidden="false" customHeight="false" outlineLevel="0" collapsed="false">
      <c r="A184" s="29" t="s">
        <v>949</v>
      </c>
      <c r="B184" s="60" t="s">
        <v>950</v>
      </c>
      <c r="C184" s="61" t="n">
        <f aca="false">SUM(E184:P184)</f>
        <v>0</v>
      </c>
      <c r="D184" s="61" t="n">
        <f aca="false">SUM(Q184:AB184)</f>
        <v>17955</v>
      </c>
      <c r="E184" s="62" t="n">
        <f aca="false">E183*Client_Register!$E$19</f>
        <v>0</v>
      </c>
      <c r="F184" s="62" t="n">
        <f aca="false">F183*Client_Register!$E$19</f>
        <v>0</v>
      </c>
      <c r="G184" s="62" t="n">
        <f aca="false">G183*Client_Register!$E$19</f>
        <v>0</v>
      </c>
      <c r="H184" s="62" t="n">
        <f aca="false">H183*Client_Register!$E$19</f>
        <v>0</v>
      </c>
      <c r="I184" s="62" t="n">
        <f aca="false">I183*Client_Register!$E$19</f>
        <v>0</v>
      </c>
      <c r="J184" s="62" t="n">
        <f aca="false">J183*Client_Register!$E$19</f>
        <v>0</v>
      </c>
      <c r="K184" s="62" t="n">
        <f aca="false">K183*Client_Register!$E$19</f>
        <v>0</v>
      </c>
      <c r="L184" s="62" t="n">
        <f aca="false">L183*Client_Register!$E$19</f>
        <v>0</v>
      </c>
      <c r="M184" s="62" t="n">
        <f aca="false">M183*Client_Register!$E$19</f>
        <v>0</v>
      </c>
      <c r="N184" s="62" t="n">
        <f aca="false">N183*Client_Register!$E$19</f>
        <v>0</v>
      </c>
      <c r="O184" s="62" t="n">
        <f aca="false">O183*Client_Register!$E$19</f>
        <v>0</v>
      </c>
      <c r="P184" s="62" t="n">
        <f aca="false">P183*Client_Register!$E$19</f>
        <v>0</v>
      </c>
      <c r="Q184" s="62" t="n">
        <f aca="false">Q183*Client_Register!$E$19</f>
        <v>5386.5</v>
      </c>
      <c r="R184" s="62" t="n">
        <f aca="false">R183*Client_Register!$E$19</f>
        <v>0</v>
      </c>
      <c r="S184" s="62" t="n">
        <f aca="false">S183*Client_Register!$E$19</f>
        <v>0</v>
      </c>
      <c r="T184" s="62" t="n">
        <f aca="false">T183*Client_Register!$E$19</f>
        <v>7182</v>
      </c>
      <c r="U184" s="62" t="n">
        <f aca="false">U183*Client_Register!$E$19</f>
        <v>0</v>
      </c>
      <c r="V184" s="62" t="n">
        <f aca="false">V183*Client_Register!$E$19</f>
        <v>5386.5</v>
      </c>
      <c r="W184" s="62" t="n">
        <f aca="false">W183*Client_Register!$E$19</f>
        <v>0</v>
      </c>
      <c r="X184" s="62" t="n">
        <f aca="false">X183*Client_Register!$E$19</f>
        <v>0</v>
      </c>
      <c r="Y184" s="62" t="n">
        <f aca="false">Y183*Client_Register!$E$19</f>
        <v>0</v>
      </c>
      <c r="Z184" s="62" t="n">
        <f aca="false">Z183*Client_Register!$E$19</f>
        <v>0</v>
      </c>
      <c r="AA184" s="62" t="n">
        <f aca="false">AA183*Client_Register!$E$19</f>
        <v>0</v>
      </c>
      <c r="AB184" s="62" t="n">
        <f aca="false">AB183*Client_Register!$E$19</f>
        <v>0</v>
      </c>
    </row>
    <row r="185" customFormat="false" ht="15" hidden="false" customHeight="false" outlineLevel="0" collapsed="false">
      <c r="A185" s="68" t="s">
        <v>951</v>
      </c>
      <c r="B185" s="69"/>
      <c r="C185" s="70" t="n">
        <f aca="false">SUM(E185:P185)</f>
        <v>0</v>
      </c>
      <c r="D185" s="70" t="n">
        <f aca="false">SUM(Q185:AB185)</f>
        <v>112455</v>
      </c>
      <c r="E185" s="70" t="n">
        <f aca="false">E183+E184</f>
        <v>0</v>
      </c>
      <c r="F185" s="70" t="n">
        <f aca="false">F183+F184</f>
        <v>0</v>
      </c>
      <c r="G185" s="70" t="n">
        <f aca="false">G183+G184</f>
        <v>0</v>
      </c>
      <c r="H185" s="70" t="n">
        <f aca="false">H183+H184</f>
        <v>0</v>
      </c>
      <c r="I185" s="70" t="n">
        <f aca="false">I183+I184</f>
        <v>0</v>
      </c>
      <c r="J185" s="70" t="n">
        <f aca="false">J183+J184</f>
        <v>0</v>
      </c>
      <c r="K185" s="70" t="n">
        <f aca="false">K183+K184</f>
        <v>0</v>
      </c>
      <c r="L185" s="70" t="n">
        <f aca="false">L183+L184</f>
        <v>0</v>
      </c>
      <c r="M185" s="70" t="n">
        <f aca="false">M183+M184</f>
        <v>0</v>
      </c>
      <c r="N185" s="70" t="n">
        <f aca="false">N183+N184</f>
        <v>0</v>
      </c>
      <c r="O185" s="70" t="n">
        <f aca="false">O183+O184</f>
        <v>0</v>
      </c>
      <c r="P185" s="70" t="n">
        <f aca="false">P183+P184</f>
        <v>0</v>
      </c>
      <c r="Q185" s="70" t="n">
        <f aca="false">Q183+Q184</f>
        <v>33736.5</v>
      </c>
      <c r="R185" s="70" t="n">
        <f aca="false">R183+R184</f>
        <v>0</v>
      </c>
      <c r="S185" s="70" t="n">
        <f aca="false">S183+S184</f>
        <v>0</v>
      </c>
      <c r="T185" s="70" t="n">
        <f aca="false">T183+T184</f>
        <v>44982</v>
      </c>
      <c r="U185" s="70" t="n">
        <f aca="false">U183+U184</f>
        <v>0</v>
      </c>
      <c r="V185" s="70" t="n">
        <f aca="false">V183+V184</f>
        <v>33736.5</v>
      </c>
      <c r="W185" s="70" t="n">
        <f aca="false">W183+W184</f>
        <v>0</v>
      </c>
      <c r="X185" s="70" t="n">
        <f aca="false">X183+X184</f>
        <v>0</v>
      </c>
      <c r="Y185" s="70" t="n">
        <f aca="false">Y183+Y184</f>
        <v>0</v>
      </c>
      <c r="Z185" s="70" t="n">
        <f aca="false">Z183+Z184</f>
        <v>0</v>
      </c>
      <c r="AA185" s="70" t="n">
        <f aca="false">AA183+AA184</f>
        <v>0</v>
      </c>
      <c r="AB185" s="70" t="n">
        <f aca="false">AB183+AB184</f>
        <v>0</v>
      </c>
    </row>
    <row r="186" customFormat="false" ht="15" hidden="false" customHeight="false" outlineLevel="0" collapsed="false">
      <c r="A186" s="29" t="s">
        <v>952</v>
      </c>
      <c r="B186" s="60" t="s">
        <v>953</v>
      </c>
      <c r="C186" s="61" t="n">
        <f aca="false">SUM(E186:P186)</f>
        <v>0</v>
      </c>
      <c r="D186" s="61" t="n">
        <f aca="false">SUM(Q186:AB186)</f>
        <v>112455</v>
      </c>
      <c r="E186" s="62" t="n">
        <f aca="false">IF(E$5="A",0,Client_Register!$J$19+E185-(E185*MIN(1,Client_Register!$I$19/30)+0*MIN(1,MAX(0,(Client_Register!$I$19-30)/30))+0*MIN(1,MAX(0,(Client_Register!$I$19-60)/30))))</f>
        <v>0</v>
      </c>
      <c r="F186" s="62" t="n">
        <f aca="false">IF(F$5="A",0,E187+F185-(F185*MIN(1,Client_Register!$I$19/30)+E185*MIN(1,MAX(0,(Client_Register!$I$19-30)/30))+0*MIN(1,MAX(0,(Client_Register!$I$19-60)/30))))</f>
        <v>0</v>
      </c>
      <c r="G186" s="62" t="n">
        <f aca="false">IF(G$5="A",0,F187+G185-(G185*MIN(1,Client_Register!$I$19/30)+F185*MIN(1,MAX(0,(Client_Register!$I$19-30)/30))+E185*MIN(1,MAX(0,(Client_Register!$I$19-60)/30))))</f>
        <v>0</v>
      </c>
      <c r="H186" s="62" t="n">
        <f aca="false">IF(H$5="A",0,G187+H185-(H185*MIN(1,Client_Register!$I$19/30)+G185*MIN(1,MAX(0,(Client_Register!$I$19-30)/30))+F185*MIN(1,MAX(0,(Client_Register!$I$19-60)/30))))</f>
        <v>0</v>
      </c>
      <c r="I186" s="62" t="n">
        <f aca="false">IF(I$5="A",0,H187+I185-(I185*MIN(1,Client_Register!$I$19/30)+H185*MIN(1,MAX(0,(Client_Register!$I$19-30)/30))+G185*MIN(1,MAX(0,(Client_Register!$I$19-60)/30))))</f>
        <v>0</v>
      </c>
      <c r="J186" s="62" t="n">
        <f aca="false">IF(J$5="A",0,I187+J185-(J185*MIN(1,Client_Register!$I$19/30)+I185*MIN(1,MAX(0,(Client_Register!$I$19-30)/30))+H185*MIN(1,MAX(0,(Client_Register!$I$19-60)/30))))</f>
        <v>0</v>
      </c>
      <c r="K186" s="62" t="n">
        <f aca="false">IF(K$5="A",0,J187+K185-(K185*MIN(1,Client_Register!$I$19/30)+J185*MIN(1,MAX(0,(Client_Register!$I$19-30)/30))+I185*MIN(1,MAX(0,(Client_Register!$I$19-60)/30))))</f>
        <v>0</v>
      </c>
      <c r="L186" s="62" t="n">
        <f aca="false">IF(L$5="A",0,K187+L185-(L185*MIN(1,Client_Register!$I$19/30)+K185*MIN(1,MAX(0,(Client_Register!$I$19-30)/30))+J185*MIN(1,MAX(0,(Client_Register!$I$19-60)/30))))</f>
        <v>0</v>
      </c>
      <c r="M186" s="62" t="n">
        <f aca="false">IF(M$5="A",0,L187+M185-(M185*MIN(1,Client_Register!$I$19/30)+L185*MIN(1,MAX(0,(Client_Register!$I$19-30)/30))+K185*MIN(1,MAX(0,(Client_Register!$I$19-60)/30))))</f>
        <v>0</v>
      </c>
      <c r="N186" s="62" t="n">
        <f aca="false">IF(N$5="A",0,M187+N185-(N185*MIN(1,Client_Register!$I$19/30)+M185*MIN(1,MAX(0,(Client_Register!$I$19-30)/30))+L185*MIN(1,MAX(0,(Client_Register!$I$19-60)/30))))</f>
        <v>0</v>
      </c>
      <c r="O186" s="62" t="n">
        <f aca="false">IF(O$5="A",0,N187+O185-(O185*MIN(1,Client_Register!$I$19/30)+N185*MIN(1,MAX(0,(Client_Register!$I$19-30)/30))+M185*MIN(1,MAX(0,(Client_Register!$I$19-60)/30))))</f>
        <v>0</v>
      </c>
      <c r="P186" s="62" t="n">
        <f aca="false">IF(P$5="A",0,O187+P185-(P185*MIN(1,Client_Register!$I$19/30)+O185*MIN(1,MAX(0,(Client_Register!$I$19-30)/30))+N185*MIN(1,MAX(0,(Client_Register!$I$19-60)/30))))</f>
        <v>0</v>
      </c>
      <c r="Q186" s="62" t="n">
        <f aca="false">IF(Q$5="A",0,P187+Q185-(Q185*MIN(1,Client_Register!$I$19/30)+P185*MIN(1,MAX(0,(Client_Register!$I$19-30)/30))+O185*MIN(1,MAX(0,(Client_Register!$I$19-60)/30))))</f>
        <v>0</v>
      </c>
      <c r="R186" s="62" t="n">
        <f aca="false">IF(R$5="A",0,Q187+R185-(R185*MIN(1,Client_Register!$I$19/30)+Q185*MIN(1,MAX(0,(Client_Register!$I$19-30)/30))+P185*MIN(1,MAX(0,(Client_Register!$I$19-60)/30))))</f>
        <v>33736.5</v>
      </c>
      <c r="S186" s="62" t="n">
        <f aca="false">IF(S$5="A",0,R187+S185-(S185*MIN(1,Client_Register!$I$19/30)+R185*MIN(1,MAX(0,(Client_Register!$I$19-30)/30))+Q185*MIN(1,MAX(0,(Client_Register!$I$19-60)/30))))</f>
        <v>0</v>
      </c>
      <c r="T186" s="62" t="n">
        <f aca="false">IF(T$5="A",0,S187+T185-(T185*MIN(1,Client_Register!$I$19/30)+S185*MIN(1,MAX(0,(Client_Register!$I$19-30)/30))+R185*MIN(1,MAX(0,(Client_Register!$I$19-60)/30))))</f>
        <v>0</v>
      </c>
      <c r="U186" s="62" t="n">
        <f aca="false">IF(U$5="A",0,T187+U185-(U185*MIN(1,Client_Register!$I$19/30)+T185*MIN(1,MAX(0,(Client_Register!$I$19-30)/30))+S185*MIN(1,MAX(0,(Client_Register!$I$19-60)/30))))</f>
        <v>44982</v>
      </c>
      <c r="V186" s="62" t="n">
        <f aca="false">IF(V$5="A",0,U187+V185-(V185*MIN(1,Client_Register!$I$19/30)+U185*MIN(1,MAX(0,(Client_Register!$I$19-30)/30))+T185*MIN(1,MAX(0,(Client_Register!$I$19-60)/30))))</f>
        <v>0</v>
      </c>
      <c r="W186" s="62" t="n">
        <f aca="false">IF(W$5="A",0,V187+W185-(W185*MIN(1,Client_Register!$I$19/30)+V185*MIN(1,MAX(0,(Client_Register!$I$19-30)/30))+U185*MIN(1,MAX(0,(Client_Register!$I$19-60)/30))))</f>
        <v>33736.5</v>
      </c>
      <c r="X186" s="62" t="n">
        <f aca="false">IF(X$5="A",0,W187+X185-(X185*MIN(1,Client_Register!$I$19/30)+W185*MIN(1,MAX(0,(Client_Register!$I$19-30)/30))+V185*MIN(1,MAX(0,(Client_Register!$I$19-60)/30))))</f>
        <v>0</v>
      </c>
      <c r="Y186" s="62" t="n">
        <f aca="false">IF(Y$5="A",0,X187+Y185-(Y185*MIN(1,Client_Register!$I$19/30)+X185*MIN(1,MAX(0,(Client_Register!$I$19-30)/30))+W185*MIN(1,MAX(0,(Client_Register!$I$19-60)/30))))</f>
        <v>0</v>
      </c>
      <c r="Z186" s="62" t="n">
        <f aca="false">IF(Z$5="A",0,Y187+Z185-(Z185*MIN(1,Client_Register!$I$19/30)+Y185*MIN(1,MAX(0,(Client_Register!$I$19-30)/30))+X185*MIN(1,MAX(0,(Client_Register!$I$19-60)/30))))</f>
        <v>0</v>
      </c>
      <c r="AA186" s="62" t="n">
        <f aca="false">IF(AA$5="A",0,Z187+AA185-(AA185*MIN(1,Client_Register!$I$19/30)+Z185*MIN(1,MAX(0,(Client_Register!$I$19-30)/30))+Y185*MIN(1,MAX(0,(Client_Register!$I$19-60)/30))))</f>
        <v>0</v>
      </c>
      <c r="AB186" s="62" t="n">
        <f aca="false">IF(AB$5="A",0,AA187+AB185-(AB185*MIN(1,Client_Register!$I$19/30)+AA185*MIN(1,MAX(0,(Client_Register!$I$19-30)/30))+Z185*MIN(1,MAX(0,(Client_Register!$I$19-60)/30))))</f>
        <v>0</v>
      </c>
    </row>
    <row r="187" customFormat="false" ht="15" hidden="false" customHeight="false" outlineLevel="0" collapsed="false">
      <c r="A187" s="68" t="s">
        <v>954</v>
      </c>
      <c r="B187" s="69" t="s">
        <v>955</v>
      </c>
      <c r="C187" s="70" t="n">
        <f aca="false">P187</f>
        <v>0</v>
      </c>
      <c r="D187" s="70" t="n">
        <f aca="false">AB187</f>
        <v>0</v>
      </c>
      <c r="E187" s="74" t="n">
        <f aca="false">Client_Register!$J$19+E185-E186</f>
        <v>0</v>
      </c>
      <c r="F187" s="70" t="n">
        <f aca="false">E187+F185-F186</f>
        <v>0</v>
      </c>
      <c r="G187" s="70" t="n">
        <f aca="false">F187+G185-G186</f>
        <v>0</v>
      </c>
      <c r="H187" s="70" t="n">
        <f aca="false">G187+H185-H186</f>
        <v>0</v>
      </c>
      <c r="I187" s="70" t="n">
        <f aca="false">H187+I185-I186</f>
        <v>0</v>
      </c>
      <c r="J187" s="70" t="n">
        <f aca="false">I187+J185-J186</f>
        <v>0</v>
      </c>
      <c r="K187" s="70" t="n">
        <f aca="false">J187+K185-K186</f>
        <v>0</v>
      </c>
      <c r="L187" s="70" t="n">
        <f aca="false">K187+L185-L186</f>
        <v>0</v>
      </c>
      <c r="M187" s="70" t="n">
        <f aca="false">L187+M185-M186</f>
        <v>0</v>
      </c>
      <c r="N187" s="70" t="n">
        <f aca="false">M187+N185-N186</f>
        <v>0</v>
      </c>
      <c r="O187" s="70" t="n">
        <f aca="false">N187+O185-O186</f>
        <v>0</v>
      </c>
      <c r="P187" s="70" t="n">
        <f aca="false">O187+P185-P186</f>
        <v>0</v>
      </c>
      <c r="Q187" s="70" t="n">
        <f aca="false">P187+Q185-Q186</f>
        <v>33736.5</v>
      </c>
      <c r="R187" s="70" t="n">
        <f aca="false">Q187+R185-R186</f>
        <v>0</v>
      </c>
      <c r="S187" s="70" t="n">
        <f aca="false">R187+S185-S186</f>
        <v>0</v>
      </c>
      <c r="T187" s="70" t="n">
        <f aca="false">S187+T185-T186</f>
        <v>44982</v>
      </c>
      <c r="U187" s="70" t="n">
        <f aca="false">T187+U185-U186</f>
        <v>0</v>
      </c>
      <c r="V187" s="70" t="n">
        <f aca="false">U187+V185-V186</f>
        <v>33736.5</v>
      </c>
      <c r="W187" s="70" t="n">
        <f aca="false">V187+W185-W186</f>
        <v>0</v>
      </c>
      <c r="X187" s="70" t="n">
        <f aca="false">W187+X185-X186</f>
        <v>0</v>
      </c>
      <c r="Y187" s="70" t="n">
        <f aca="false">X187+Y185-Y186</f>
        <v>0</v>
      </c>
      <c r="Z187" s="70" t="n">
        <f aca="false">Y187+Z185-Z186</f>
        <v>0</v>
      </c>
      <c r="AA187" s="70" t="n">
        <f aca="false">Z187+AA185-AA186</f>
        <v>0</v>
      </c>
      <c r="AB187" s="70" t="n">
        <f aca="false">AA187+AB185-AB186</f>
        <v>0</v>
      </c>
    </row>
    <row r="188" customFormat="false" ht="15" hidden="false" customHeight="false" outlineLevel="0" collapsed="false">
      <c r="A188" s="29" t="s">
        <v>956</v>
      </c>
      <c r="B188" s="60"/>
      <c r="C188" s="66" t="n">
        <f aca="false">P188</f>
        <v>0</v>
      </c>
      <c r="D188" s="66" t="n">
        <f aca="false">AB188</f>
        <v>0</v>
      </c>
      <c r="E188" s="67" t="n">
        <f aca="false">IFERROR(E187/SUM(E185:E185)*SUM(Assumptions!E$191:E$191),0)</f>
        <v>0</v>
      </c>
      <c r="F188" s="67" t="n">
        <f aca="false">IFERROR(F187/SUM(E185:F185)*SUM(Assumptions!E$191:F$191),0)</f>
        <v>0</v>
      </c>
      <c r="G188" s="67" t="n">
        <f aca="false">IFERROR(G187/SUM(E185:G185)*SUM(Assumptions!E$191:G$191),0)</f>
        <v>0</v>
      </c>
      <c r="H188" s="67" t="n">
        <f aca="false">IFERROR(H187/SUM(F185:H185)*SUM(Assumptions!F$191:H$191),0)</f>
        <v>0</v>
      </c>
      <c r="I188" s="67" t="n">
        <f aca="false">IFERROR(I187/SUM(G185:I185)*SUM(Assumptions!G$191:I$191),0)</f>
        <v>0</v>
      </c>
      <c r="J188" s="67" t="n">
        <f aca="false">IFERROR(J187/SUM(H185:J185)*SUM(Assumptions!H$191:J$191),0)</f>
        <v>0</v>
      </c>
      <c r="K188" s="67" t="n">
        <f aca="false">IFERROR(K187/SUM(I185:K185)*SUM(Assumptions!I$191:K$191),0)</f>
        <v>0</v>
      </c>
      <c r="L188" s="67" t="n">
        <f aca="false">IFERROR(L187/SUM(J185:L185)*SUM(Assumptions!J$191:L$191),0)</f>
        <v>0</v>
      </c>
      <c r="M188" s="67" t="n">
        <f aca="false">IFERROR(M187/SUM(K185:M185)*SUM(Assumptions!K$191:M$191),0)</f>
        <v>0</v>
      </c>
      <c r="N188" s="67" t="n">
        <f aca="false">IFERROR(N187/SUM(L185:N185)*SUM(Assumptions!L$191:N$191),0)</f>
        <v>0</v>
      </c>
      <c r="O188" s="67" t="n">
        <f aca="false">IFERROR(O187/SUM(M185:O185)*SUM(Assumptions!M$191:O$191),0)</f>
        <v>0</v>
      </c>
      <c r="P188" s="67" t="n">
        <f aca="false">IFERROR(P187/SUM(N185:P185)*SUM(Assumptions!N$191:P$191),0)</f>
        <v>0</v>
      </c>
      <c r="Q188" s="67" t="n">
        <f aca="false">IFERROR(Q187/SUM(O185:Q185)*SUM(Assumptions!O$191:Q$191),0)</f>
        <v>92</v>
      </c>
      <c r="R188" s="67" t="n">
        <f aca="false">IFERROR(R187/SUM(P185:R185)*SUM(Assumptions!P$191:R$191),0)</f>
        <v>0</v>
      </c>
      <c r="S188" s="67" t="n">
        <f aca="false">IFERROR(S187/SUM(Q185:S185)*SUM(Assumptions!Q$191:S$191),0)</f>
        <v>0</v>
      </c>
      <c r="T188" s="67" t="n">
        <f aca="false">IFERROR(T187/SUM(R185:T185)*SUM(Assumptions!R$191:T$191),0)</f>
        <v>89</v>
      </c>
      <c r="U188" s="67" t="n">
        <f aca="false">IFERROR(U187/SUM(S185:U185)*SUM(Assumptions!S$191:U$191),0)</f>
        <v>0</v>
      </c>
      <c r="V188" s="67" t="n">
        <f aca="false">IFERROR(V187/SUM(T185:V185)*SUM(Assumptions!T$191:V$191),0)</f>
        <v>39</v>
      </c>
      <c r="W188" s="67" t="n">
        <f aca="false">IFERROR(W187/SUM(U185:W185)*SUM(Assumptions!U$191:W$191),0)</f>
        <v>0</v>
      </c>
      <c r="X188" s="67" t="n">
        <f aca="false">IFERROR(X187/SUM(V185:X185)*SUM(Assumptions!V$191:X$191),0)</f>
        <v>0</v>
      </c>
      <c r="Y188" s="67" t="n">
        <f aca="false">IFERROR(Y187/SUM(W185:Y185)*SUM(Assumptions!W$191:Y$191),0)</f>
        <v>0</v>
      </c>
      <c r="Z188" s="67" t="n">
        <f aca="false">IFERROR(Z187/SUM(X185:Z185)*SUM(Assumptions!X$191:Z$191),0)</f>
        <v>0</v>
      </c>
      <c r="AA188" s="67" t="n">
        <f aca="false">IFERROR(AA187/SUM(Y185:AA185)*SUM(Assumptions!Y$191:AA$191),0)</f>
        <v>0</v>
      </c>
      <c r="AB188" s="67" t="n">
        <f aca="false">IFERROR(AB187/SUM(Z185:AB185)*SUM(Assumptions!Z$191:AB$191),0)</f>
        <v>0</v>
      </c>
    </row>
    <row r="189" customFormat="false" ht="15" hidden="false" customHeight="false" outlineLevel="0" collapsed="false">
      <c r="A189" s="29" t="s">
        <v>957</v>
      </c>
      <c r="B189" s="60" t="s">
        <v>51</v>
      </c>
      <c r="C189" s="61" t="n">
        <f aca="false">P189</f>
        <v>0</v>
      </c>
      <c r="D189" s="61" t="n">
        <f aca="false">AB189</f>
        <v>0</v>
      </c>
      <c r="E189" s="62" t="n">
        <f aca="false">Engagements!E474</f>
        <v>0</v>
      </c>
      <c r="F189" s="62" t="n">
        <f aca="false">Engagements!F474</f>
        <v>0</v>
      </c>
      <c r="G189" s="62" t="n">
        <f aca="false">Engagements!G474</f>
        <v>0</v>
      </c>
      <c r="H189" s="62" t="n">
        <f aca="false">Engagements!H474</f>
        <v>0</v>
      </c>
      <c r="I189" s="62" t="n">
        <f aca="false">Engagements!I474</f>
        <v>0</v>
      </c>
      <c r="J189" s="62" t="n">
        <f aca="false">Engagements!J474</f>
        <v>0</v>
      </c>
      <c r="K189" s="62" t="n">
        <f aca="false">Engagements!K474</f>
        <v>0</v>
      </c>
      <c r="L189" s="62" t="n">
        <f aca="false">Engagements!L474</f>
        <v>0</v>
      </c>
      <c r="M189" s="62" t="n">
        <f aca="false">Engagements!M474</f>
        <v>0</v>
      </c>
      <c r="N189" s="62" t="n">
        <f aca="false">Engagements!N474</f>
        <v>0</v>
      </c>
      <c r="O189" s="62" t="n">
        <f aca="false">Engagements!O474</f>
        <v>0</v>
      </c>
      <c r="P189" s="62" t="n">
        <f aca="false">Engagements!P474</f>
        <v>0</v>
      </c>
      <c r="Q189" s="62" t="n">
        <f aca="false">Engagements!Q474</f>
        <v>-13511.923454367</v>
      </c>
      <c r="R189" s="62" t="n">
        <f aca="false">Engagements!R474</f>
        <v>1789.84298331698</v>
      </c>
      <c r="S189" s="62" t="n">
        <f aca="false">Engagements!S474</f>
        <v>18204.4651619235</v>
      </c>
      <c r="T189" s="62" t="n">
        <f aca="false">Engagements!T474</f>
        <v>-2439.00883218843</v>
      </c>
      <c r="U189" s="62" t="n">
        <f aca="false">Engagements!U474</f>
        <v>10637.0461236506</v>
      </c>
      <c r="V189" s="62" t="n">
        <f aca="false">Engagements!V474</f>
        <v>0</v>
      </c>
      <c r="W189" s="62" t="n">
        <f aca="false">Engagements!W474</f>
        <v>0</v>
      </c>
      <c r="X189" s="62" t="n">
        <f aca="false">Engagements!X474</f>
        <v>0</v>
      </c>
      <c r="Y189" s="62" t="n">
        <f aca="false">Engagements!Y474</f>
        <v>0</v>
      </c>
      <c r="Z189" s="62" t="n">
        <f aca="false">Engagements!Z474</f>
        <v>0</v>
      </c>
      <c r="AA189" s="62" t="n">
        <f aca="false">Engagements!AA474</f>
        <v>0</v>
      </c>
      <c r="AB189" s="62" t="n">
        <f aca="false">Engagements!AB474</f>
        <v>0</v>
      </c>
    </row>
    <row r="191" customFormat="false" ht="15" hidden="false" customHeight="false" outlineLevel="0" collapsed="false">
      <c r="A191" s="23" t="s">
        <v>974</v>
      </c>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row>
    <row r="192" customFormat="false" ht="15" hidden="false" customHeight="false" outlineLevel="0" collapsed="false">
      <c r="A192" s="29" t="s">
        <v>679</v>
      </c>
      <c r="B192" s="60" t="s">
        <v>51</v>
      </c>
      <c r="C192" s="61" t="n">
        <f aca="false">SUM(E192:P192)</f>
        <v>196941.867847265</v>
      </c>
      <c r="D192" s="61" t="n">
        <f aca="false">SUM(Q192:AB192)</f>
        <v>4292827.22318094</v>
      </c>
      <c r="E192" s="62" t="n">
        <f aca="false">Engagements!E539+Engagements!E550+Engagements!E561</f>
        <v>0</v>
      </c>
      <c r="F192" s="62" t="n">
        <f aca="false">Engagements!F539+Engagements!F550+Engagements!F561</f>
        <v>0</v>
      </c>
      <c r="G192" s="62" t="n">
        <f aca="false">Engagements!G539+Engagements!G550+Engagements!G561</f>
        <v>0</v>
      </c>
      <c r="H192" s="62" t="n">
        <f aca="false">Engagements!H539+Engagements!H550+Engagements!H561</f>
        <v>0</v>
      </c>
      <c r="I192" s="62" t="n">
        <f aca="false">Engagements!I539+Engagements!I550+Engagements!I561</f>
        <v>0</v>
      </c>
      <c r="J192" s="62" t="n">
        <f aca="false">Engagements!J539+Engagements!J550+Engagements!J561</f>
        <v>0</v>
      </c>
      <c r="K192" s="62" t="n">
        <f aca="false">Engagements!K539+Engagements!K550+Engagements!K561</f>
        <v>0</v>
      </c>
      <c r="L192" s="62" t="n">
        <f aca="false">Engagements!L539+Engagements!L550+Engagements!L561</f>
        <v>0</v>
      </c>
      <c r="M192" s="62" t="n">
        <f aca="false">Engagements!M539+Engagements!M550+Engagements!M561</f>
        <v>0</v>
      </c>
      <c r="N192" s="62" t="n">
        <f aca="false">Engagements!N539+Engagements!N550+Engagements!N561</f>
        <v>0</v>
      </c>
      <c r="O192" s="62" t="n">
        <f aca="false">Engagements!O539+Engagements!O550+Engagements!O561</f>
        <v>98433.9316200042</v>
      </c>
      <c r="P192" s="62" t="n">
        <f aca="false">Engagements!P539+Engagements!P550+Engagements!P561</f>
        <v>98507.9362272608</v>
      </c>
      <c r="Q192" s="62" t="n">
        <f aca="false">Engagements!Q539+Engagements!Q550+Engagements!Q561</f>
        <v>106259.120318198</v>
      </c>
      <c r="R192" s="62" t="n">
        <f aca="false">Engagements!R539+Engagements!R550+Engagements!R561</f>
        <v>112749.263045669</v>
      </c>
      <c r="S192" s="62" t="n">
        <f aca="false">Engagements!S539+Engagements!S550+Engagements!S561</f>
        <v>163830.477856546</v>
      </c>
      <c r="T192" s="62" t="n">
        <f aca="false">Engagements!T539+Engagements!T550+Engagements!T561</f>
        <v>302573.812078192</v>
      </c>
      <c r="U192" s="62" t="n">
        <f aca="false">Engagements!U539+Engagements!U550+Engagements!U561</f>
        <v>256165.860439507</v>
      </c>
      <c r="V192" s="62" t="n">
        <f aca="false">Engagements!V539+Engagements!V550+Engagements!V561</f>
        <v>389769.023097364</v>
      </c>
      <c r="W192" s="62" t="n">
        <f aca="false">Engagements!W539+Engagements!W550+Engagements!W561</f>
        <v>424953.200089838</v>
      </c>
      <c r="X192" s="62" t="n">
        <f aca="false">Engagements!X539+Engagements!X550+Engagements!X561</f>
        <v>412101.287921709</v>
      </c>
      <c r="Y192" s="62" t="n">
        <f aca="false">Engagements!Y539+Engagements!Y550+Engagements!Y561</f>
        <v>512574.563933563</v>
      </c>
      <c r="Z192" s="62" t="n">
        <f aca="false">Engagements!Z539+Engagements!Z550+Engagements!Z561</f>
        <v>497178.209941865</v>
      </c>
      <c r="AA192" s="62" t="n">
        <f aca="false">Engagements!AA539+Engagements!AA550+Engagements!AA561</f>
        <v>535439.251754605</v>
      </c>
      <c r="AB192" s="62" t="n">
        <f aca="false">Engagements!AB539+Engagements!AB550+Engagements!AB561</f>
        <v>579233.152703884</v>
      </c>
    </row>
    <row r="193" customFormat="false" ht="15" hidden="false" customHeight="false" outlineLevel="0" collapsed="false">
      <c r="A193" s="29" t="s">
        <v>498</v>
      </c>
      <c r="B193" s="60" t="s">
        <v>51</v>
      </c>
      <c r="C193" s="61" t="n">
        <f aca="false">SUM(E193:P193)</f>
        <v>12371.6606176084</v>
      </c>
      <c r="D193" s="61" t="n">
        <f aca="false">SUM(Q193:AB193)</f>
        <v>265360.018413104</v>
      </c>
      <c r="E193" s="62" t="n">
        <f aca="false">Engagements!E542+Engagements!E553+Engagements!E564</f>
        <v>0</v>
      </c>
      <c r="F193" s="62" t="n">
        <f aca="false">Engagements!F542+Engagements!F553+Engagements!F564</f>
        <v>0</v>
      </c>
      <c r="G193" s="62" t="n">
        <f aca="false">Engagements!G542+Engagements!G553+Engagements!G564</f>
        <v>0</v>
      </c>
      <c r="H193" s="62" t="n">
        <f aca="false">Engagements!H542+Engagements!H553+Engagements!H564</f>
        <v>0</v>
      </c>
      <c r="I193" s="62" t="n">
        <f aca="false">Engagements!I542+Engagements!I553+Engagements!I564</f>
        <v>0</v>
      </c>
      <c r="J193" s="62" t="n">
        <f aca="false">Engagements!J542+Engagements!J553+Engagements!J564</f>
        <v>0</v>
      </c>
      <c r="K193" s="62" t="n">
        <f aca="false">Engagements!K542+Engagements!K553+Engagements!K564</f>
        <v>0</v>
      </c>
      <c r="L193" s="62" t="n">
        <f aca="false">Engagements!L542+Engagements!L553+Engagements!L564</f>
        <v>0</v>
      </c>
      <c r="M193" s="62" t="n">
        <f aca="false">Engagements!M542+Engagements!M553+Engagements!M564</f>
        <v>0</v>
      </c>
      <c r="N193" s="62" t="n">
        <f aca="false">Engagements!N542+Engagements!N553+Engagements!N564</f>
        <v>0</v>
      </c>
      <c r="O193" s="62" t="n">
        <f aca="false">Engagements!O542+Engagements!O553+Engagements!O564</f>
        <v>6062.68540725976</v>
      </c>
      <c r="P193" s="62" t="n">
        <f aca="false">Engagements!P542+Engagements!P553+Engagements!P564</f>
        <v>6308.97521034867</v>
      </c>
      <c r="Q193" s="62" t="n">
        <f aca="false">Engagements!Q542+Engagements!Q553+Engagements!Q564</f>
        <v>6570.21538268132</v>
      </c>
      <c r="R193" s="62" t="n">
        <f aca="false">Engagements!R542+Engagements!R553+Engagements!R564</f>
        <v>6951.8139920992</v>
      </c>
      <c r="S193" s="62" t="n">
        <f aca="false">Engagements!S542+Engagements!S553+Engagements!S564</f>
        <v>9911.01736862776</v>
      </c>
      <c r="T193" s="62" t="n">
        <f aca="false">Engagements!T542+Engagements!T553+Engagements!T564</f>
        <v>18364.4791082454</v>
      </c>
      <c r="U193" s="62" t="n">
        <f aca="false">Engagements!U542+Engagements!U553+Engagements!U564</f>
        <v>15600.1903445498</v>
      </c>
      <c r="V193" s="62" t="n">
        <f aca="false">Engagements!V542+Engagements!V553+Engagements!V564</f>
        <v>23774.5769734904</v>
      </c>
      <c r="W193" s="62" t="n">
        <f aca="false">Engagements!W542+Engagements!W553+Engagements!W564</f>
        <v>26003.109102868</v>
      </c>
      <c r="X193" s="62" t="n">
        <f aca="false">Engagements!X542+Engagements!X553+Engagements!X564</f>
        <v>25277.3955906282</v>
      </c>
      <c r="Y193" s="62" t="n">
        <f aca="false">Engagements!Y542+Engagements!Y553+Engagements!Y564</f>
        <v>32073.811845426</v>
      </c>
      <c r="Z193" s="62" t="n">
        <f aca="false">Engagements!Z542+Engagements!Z553+Engagements!Z564</f>
        <v>31107.6905447389</v>
      </c>
      <c r="AA193" s="62" t="n">
        <f aca="false">Engagements!AA542+Engagements!AA553+Engagements!AA564</f>
        <v>33496.7761673647</v>
      </c>
      <c r="AB193" s="62" t="n">
        <f aca="false">Engagements!AB542+Engagements!AB553+Engagements!AB564</f>
        <v>36228.9419923845</v>
      </c>
    </row>
    <row r="194" customFormat="false" ht="15" hidden="false" customHeight="false" outlineLevel="0" collapsed="false">
      <c r="A194" s="68" t="s">
        <v>351</v>
      </c>
      <c r="B194" s="69"/>
      <c r="C194" s="70" t="n">
        <f aca="false">SUM(E194:P194)</f>
        <v>209313.528464873</v>
      </c>
      <c r="D194" s="70" t="n">
        <f aca="false">SUM(Q194:AB194)</f>
        <v>4558187.24159404</v>
      </c>
      <c r="E194" s="70" t="n">
        <f aca="false">E192+E193</f>
        <v>0</v>
      </c>
      <c r="F194" s="70" t="n">
        <f aca="false">F192+F193</f>
        <v>0</v>
      </c>
      <c r="G194" s="70" t="n">
        <f aca="false">G192+G193</f>
        <v>0</v>
      </c>
      <c r="H194" s="70" t="n">
        <f aca="false">H192+H193</f>
        <v>0</v>
      </c>
      <c r="I194" s="70" t="n">
        <f aca="false">I192+I193</f>
        <v>0</v>
      </c>
      <c r="J194" s="70" t="n">
        <f aca="false">J192+J193</f>
        <v>0</v>
      </c>
      <c r="K194" s="70" t="n">
        <f aca="false">K192+K193</f>
        <v>0</v>
      </c>
      <c r="L194" s="70" t="n">
        <f aca="false">L192+L193</f>
        <v>0</v>
      </c>
      <c r="M194" s="70" t="n">
        <f aca="false">M192+M193</f>
        <v>0</v>
      </c>
      <c r="N194" s="70" t="n">
        <f aca="false">N192+N193</f>
        <v>0</v>
      </c>
      <c r="O194" s="70" t="n">
        <f aca="false">O192+O193</f>
        <v>104496.617027264</v>
      </c>
      <c r="P194" s="70" t="n">
        <f aca="false">P192+P193</f>
        <v>104816.911437609</v>
      </c>
      <c r="Q194" s="70" t="n">
        <f aca="false">Q192+Q193</f>
        <v>112829.335700879</v>
      </c>
      <c r="R194" s="70" t="n">
        <f aca="false">R192+R193</f>
        <v>119701.077037768</v>
      </c>
      <c r="S194" s="70" t="n">
        <f aca="false">S192+S193</f>
        <v>173741.495225174</v>
      </c>
      <c r="T194" s="70" t="n">
        <f aca="false">T192+T193</f>
        <v>320938.291186438</v>
      </c>
      <c r="U194" s="70" t="n">
        <f aca="false">U192+U193</f>
        <v>271766.050784057</v>
      </c>
      <c r="V194" s="70" t="n">
        <f aca="false">V192+V193</f>
        <v>413543.600070854</v>
      </c>
      <c r="W194" s="70" t="n">
        <f aca="false">W192+W193</f>
        <v>450956.309192706</v>
      </c>
      <c r="X194" s="70" t="n">
        <f aca="false">X192+X193</f>
        <v>437378.683512337</v>
      </c>
      <c r="Y194" s="70" t="n">
        <f aca="false">Y192+Y193</f>
        <v>544648.375778989</v>
      </c>
      <c r="Z194" s="70" t="n">
        <f aca="false">Z192+Z193</f>
        <v>528285.900486604</v>
      </c>
      <c r="AA194" s="70" t="n">
        <f aca="false">AA192+AA193</f>
        <v>568936.027921969</v>
      </c>
      <c r="AB194" s="70" t="n">
        <f aca="false">AB192+AB193</f>
        <v>615462.094696268</v>
      </c>
    </row>
    <row r="195" customFormat="false" ht="15" hidden="false" customHeight="false" outlineLevel="0" collapsed="false">
      <c r="A195" s="29" t="s">
        <v>901</v>
      </c>
      <c r="B195" s="60" t="s">
        <v>51</v>
      </c>
      <c r="C195" s="66" t="n">
        <f aca="false">SUM(E195:P195)</f>
        <v>1124.69641978259</v>
      </c>
      <c r="D195" s="66" t="n">
        <f aca="false">SUM(Q195:AB195)</f>
        <v>23421.0078034514</v>
      </c>
      <c r="E195" s="67" t="n">
        <f aca="false">Engagements!E536+Engagements!E547+Engagements!E558</f>
        <v>0</v>
      </c>
      <c r="F195" s="67" t="n">
        <f aca="false">Engagements!F536+Engagements!F547+Engagements!F558</f>
        <v>0</v>
      </c>
      <c r="G195" s="67" t="n">
        <f aca="false">Engagements!G536+Engagements!G547+Engagements!G558</f>
        <v>0</v>
      </c>
      <c r="H195" s="67" t="n">
        <f aca="false">Engagements!H536+Engagements!H547+Engagements!H558</f>
        <v>0</v>
      </c>
      <c r="I195" s="67" t="n">
        <f aca="false">Engagements!I536+Engagements!I547+Engagements!I558</f>
        <v>0</v>
      </c>
      <c r="J195" s="67" t="n">
        <f aca="false">Engagements!J536+Engagements!J547+Engagements!J558</f>
        <v>0</v>
      </c>
      <c r="K195" s="67" t="n">
        <f aca="false">Engagements!K536+Engagements!K547+Engagements!K558</f>
        <v>0</v>
      </c>
      <c r="L195" s="67" t="n">
        <f aca="false">Engagements!L536+Engagements!L547+Engagements!L558</f>
        <v>0</v>
      </c>
      <c r="M195" s="67" t="n">
        <f aca="false">Engagements!M536+Engagements!M547+Engagements!M558</f>
        <v>0</v>
      </c>
      <c r="N195" s="67" t="n">
        <f aca="false">Engagements!N536+Engagements!N547+Engagements!N558</f>
        <v>0</v>
      </c>
      <c r="O195" s="67" t="n">
        <f aca="false">Engagements!O536+Engagements!O547+Engagements!O558</f>
        <v>551.153218841797</v>
      </c>
      <c r="P195" s="67" t="n">
        <f aca="false">Engagements!P536+Engagements!P547+Engagements!P558</f>
        <v>573.543200940788</v>
      </c>
      <c r="Q195" s="67" t="n">
        <f aca="false">Engagements!Q536+Engagements!Q547+Engagements!Q558</f>
        <v>579.895444190761</v>
      </c>
      <c r="R195" s="67" t="n">
        <f aca="false">Engagements!R536+Engagements!R547+Engagements!R558</f>
        <v>613.575815719259</v>
      </c>
      <c r="S195" s="67" t="n">
        <f aca="false">Engagements!S536+Engagements!S547+Engagements!S558</f>
        <v>874.758814530253</v>
      </c>
      <c r="T195" s="67" t="n">
        <f aca="false">Engagements!T536+Engagements!T547+Engagements!T558</f>
        <v>1620.87194247532</v>
      </c>
      <c r="U195" s="67" t="n">
        <f aca="false">Engagements!U536+Engagements!U547+Engagements!U558</f>
        <v>1376.89235168136</v>
      </c>
      <c r="V195" s="67" t="n">
        <f aca="false">Engagements!V536+Engagements!V547+Engagements!V558</f>
        <v>2098.3739605905</v>
      </c>
      <c r="W195" s="67" t="n">
        <f aca="false">Engagements!W536+Engagements!W547+Engagements!W558</f>
        <v>2295.06699937052</v>
      </c>
      <c r="X195" s="67" t="n">
        <f aca="false">Engagements!X536+Engagements!X547+Engagements!X558</f>
        <v>2231.01461523638</v>
      </c>
      <c r="Y195" s="67" t="n">
        <f aca="false">Engagements!Y536+Engagements!Y547+Engagements!Y558</f>
        <v>2830.87483189991</v>
      </c>
      <c r="Z195" s="67" t="n">
        <f aca="false">Engagements!Z536+Engagements!Z547+Engagements!Z558</f>
        <v>2745.60375505198</v>
      </c>
      <c r="AA195" s="67" t="n">
        <f aca="false">Engagements!AA536+Engagements!AA547+Engagements!AA558</f>
        <v>2956.46744636934</v>
      </c>
      <c r="AB195" s="67" t="n">
        <f aca="false">Engagements!AB536+Engagements!AB547+Engagements!AB558</f>
        <v>3197.61182633579</v>
      </c>
    </row>
    <row r="196" customFormat="false" ht="15" hidden="false" customHeight="false" outlineLevel="0" collapsed="false">
      <c r="A196" s="29" t="s">
        <v>833</v>
      </c>
      <c r="B196" s="60" t="s">
        <v>51</v>
      </c>
      <c r="C196" s="61" t="n">
        <f aca="false">SUM(E196:P196)</f>
        <v>222986.716312574</v>
      </c>
      <c r="D196" s="61" t="n">
        <f aca="false">SUM(Q196:AB196)</f>
        <v>4860538.06972479</v>
      </c>
      <c r="E196" s="62" t="n">
        <f aca="false">Engagements!E537+Engagements!E548+Engagements!E559</f>
        <v>0</v>
      </c>
      <c r="F196" s="62" t="n">
        <f aca="false">Engagements!F537+Engagements!F548+Engagements!F559</f>
        <v>0</v>
      </c>
      <c r="G196" s="62" t="n">
        <f aca="false">Engagements!G537+Engagements!G548+Engagements!G559</f>
        <v>0</v>
      </c>
      <c r="H196" s="62" t="n">
        <f aca="false">Engagements!H537+Engagements!H548+Engagements!H559</f>
        <v>0</v>
      </c>
      <c r="I196" s="62" t="n">
        <f aca="false">Engagements!I537+Engagements!I548+Engagements!I559</f>
        <v>0</v>
      </c>
      <c r="J196" s="62" t="n">
        <f aca="false">Engagements!J537+Engagements!J548+Engagements!J559</f>
        <v>0</v>
      </c>
      <c r="K196" s="62" t="n">
        <f aca="false">Engagements!K537+Engagements!K548+Engagements!K559</f>
        <v>0</v>
      </c>
      <c r="L196" s="62" t="n">
        <f aca="false">Engagements!L537+Engagements!L548+Engagements!L559</f>
        <v>0</v>
      </c>
      <c r="M196" s="62" t="n">
        <f aca="false">Engagements!M537+Engagements!M548+Engagements!M559</f>
        <v>0</v>
      </c>
      <c r="N196" s="62" t="n">
        <f aca="false">Engagements!N537+Engagements!N548+Engagements!N559</f>
        <v>0</v>
      </c>
      <c r="O196" s="62" t="n">
        <f aca="false">Engagements!O537+Engagements!O548+Engagements!O559</f>
        <v>111451.46243207</v>
      </c>
      <c r="P196" s="62" t="n">
        <f aca="false">Engagements!P537+Engagements!P548+Engagements!P559</f>
        <v>111535.253880504</v>
      </c>
      <c r="Q196" s="62" t="n">
        <f aca="false">Engagements!Q537+Engagements!Q548+Engagements!Q559</f>
        <v>120311.503983467</v>
      </c>
      <c r="R196" s="62" t="n">
        <f aca="false">Engagements!R537+Engagements!R548+Engagements!R559</f>
        <v>127659.944571636</v>
      </c>
      <c r="S196" s="62" t="n">
        <f aca="false">Engagements!S537+Engagements!S548+Engagements!S559</f>
        <v>185496.464964386</v>
      </c>
      <c r="T196" s="62" t="n">
        <f aca="false">Engagements!T537+Engagements!T548+Engagements!T559</f>
        <v>342588.102443605</v>
      </c>
      <c r="U196" s="62" t="n">
        <f aca="false">Engagements!U537+Engagements!U548+Engagements!U559</f>
        <v>290042.867345456</v>
      </c>
      <c r="V196" s="62" t="n">
        <f aca="false">Engagements!V537+Engagements!V548+Engagements!V559</f>
        <v>441314.564195385</v>
      </c>
      <c r="W196" s="62" t="n">
        <f aca="false">Engagements!W537+Engagements!W548+Engagements!W559</f>
        <v>481151.721116212</v>
      </c>
      <c r="X196" s="62" t="n">
        <f aca="false">Engagements!X537+Engagements!X548+Engagements!X559</f>
        <v>466600.190128746</v>
      </c>
      <c r="Y196" s="62" t="n">
        <f aca="false">Engagements!Y537+Engagements!Y548+Engagements!Y559</f>
        <v>580360.69285956</v>
      </c>
      <c r="Z196" s="62" t="n">
        <f aca="false">Engagements!Z537+Engagements!Z548+Engagements!Z559</f>
        <v>562928.22683635</v>
      </c>
      <c r="AA196" s="62" t="n">
        <f aca="false">Engagements!AA537+Engagements!AA548+Engagements!AA559</f>
        <v>606249.152801862</v>
      </c>
      <c r="AB196" s="62" t="n">
        <f aca="false">Engagements!AB537+Engagements!AB548+Engagements!AB559</f>
        <v>655834.638478129</v>
      </c>
    </row>
    <row r="197" customFormat="false" ht="15" hidden="false" customHeight="false" outlineLevel="0" collapsed="false">
      <c r="A197" s="29" t="s">
        <v>716</v>
      </c>
      <c r="B197" s="60" t="s">
        <v>51</v>
      </c>
      <c r="C197" s="61" t="n">
        <f aca="false">SUM(E197:P197)</f>
        <v>104496.617027264</v>
      </c>
      <c r="D197" s="61" t="n">
        <f aca="false">SUM(Q197:AB197)</f>
        <v>4047542.05833538</v>
      </c>
      <c r="E197" s="62" t="n">
        <f aca="false">Engagements!E540+Engagements!E551+Engagements!E562+Engagements!E543+Engagements!E554+Engagements!E565</f>
        <v>0</v>
      </c>
      <c r="F197" s="62" t="n">
        <f aca="false">Engagements!F540+Engagements!F551+Engagements!F562+Engagements!F543+Engagements!F554+Engagements!F565</f>
        <v>0</v>
      </c>
      <c r="G197" s="62" t="n">
        <f aca="false">Engagements!G540+Engagements!G551+Engagements!G562+Engagements!G543+Engagements!G554+Engagements!G565</f>
        <v>0</v>
      </c>
      <c r="H197" s="62" t="n">
        <f aca="false">Engagements!H540+Engagements!H551+Engagements!H562+Engagements!H543+Engagements!H554+Engagements!H565</f>
        <v>0</v>
      </c>
      <c r="I197" s="62" t="n">
        <f aca="false">Engagements!I540+Engagements!I551+Engagements!I562+Engagements!I543+Engagements!I554+Engagements!I565</f>
        <v>0</v>
      </c>
      <c r="J197" s="62" t="n">
        <f aca="false">Engagements!J540+Engagements!J551+Engagements!J562+Engagements!J543+Engagements!J554+Engagements!J565</f>
        <v>0</v>
      </c>
      <c r="K197" s="62" t="n">
        <f aca="false">Engagements!K540+Engagements!K551+Engagements!K562+Engagements!K543+Engagements!K554+Engagements!K565</f>
        <v>0</v>
      </c>
      <c r="L197" s="62" t="n">
        <f aca="false">Engagements!L540+Engagements!L551+Engagements!L562+Engagements!L543+Engagements!L554+Engagements!L565</f>
        <v>0</v>
      </c>
      <c r="M197" s="62" t="n">
        <f aca="false">Engagements!M540+Engagements!M551+Engagements!M562+Engagements!M543+Engagements!M554+Engagements!M565</f>
        <v>0</v>
      </c>
      <c r="N197" s="62" t="n">
        <f aca="false">Engagements!N540+Engagements!N551+Engagements!N562+Engagements!N543+Engagements!N554+Engagements!N565</f>
        <v>0</v>
      </c>
      <c r="O197" s="62" t="n">
        <f aca="false">Engagements!O540+Engagements!O551+Engagements!O562+Engagements!O543+Engagements!O554+Engagements!O565</f>
        <v>0</v>
      </c>
      <c r="P197" s="62" t="n">
        <f aca="false">Engagements!P540+Engagements!P551+Engagements!P562+Engagements!P543+Engagements!P554+Engagements!P565</f>
        <v>104496.617027264</v>
      </c>
      <c r="Q197" s="62" t="n">
        <f aca="false">Engagements!Q540+Engagements!Q551+Engagements!Q562+Engagements!Q543+Engagements!Q554+Engagements!Q565</f>
        <v>104816.911437609</v>
      </c>
      <c r="R197" s="62" t="n">
        <f aca="false">Engagements!R540+Engagements!R551+Engagements!R562+Engagements!R543+Engagements!R554+Engagements!R565</f>
        <v>112829.335700879</v>
      </c>
      <c r="S197" s="62" t="n">
        <f aca="false">Engagements!S540+Engagements!S551+Engagements!S562+Engagements!S543+Engagements!S554+Engagements!S565</f>
        <v>119701.077037768</v>
      </c>
      <c r="T197" s="62" t="n">
        <f aca="false">Engagements!T540+Engagements!T551+Engagements!T562+Engagements!T543+Engagements!T554+Engagements!T565</f>
        <v>173741.495225174</v>
      </c>
      <c r="U197" s="62" t="n">
        <f aca="false">Engagements!U540+Engagements!U551+Engagements!U562+Engagements!U543+Engagements!U554+Engagements!U565</f>
        <v>320938.291186438</v>
      </c>
      <c r="V197" s="62" t="n">
        <f aca="false">Engagements!V540+Engagements!V551+Engagements!V562+Engagements!V543+Engagements!V554+Engagements!V565</f>
        <v>271766.050784057</v>
      </c>
      <c r="W197" s="62" t="n">
        <f aca="false">Engagements!W540+Engagements!W551+Engagements!W562+Engagements!W543+Engagements!W554+Engagements!W565</f>
        <v>413543.600070854</v>
      </c>
      <c r="X197" s="62" t="n">
        <f aca="false">Engagements!X540+Engagements!X551+Engagements!X562+Engagements!X543+Engagements!X554+Engagements!X565</f>
        <v>450956.309192706</v>
      </c>
      <c r="Y197" s="62" t="n">
        <f aca="false">Engagements!Y540+Engagements!Y551+Engagements!Y562+Engagements!Y543+Engagements!Y554+Engagements!Y565</f>
        <v>437378.683512337</v>
      </c>
      <c r="Z197" s="62" t="n">
        <f aca="false">Engagements!Z540+Engagements!Z551+Engagements!Z562+Engagements!Z543+Engagements!Z554+Engagements!Z565</f>
        <v>544648.375778989</v>
      </c>
      <c r="AA197" s="62" t="n">
        <f aca="false">Engagements!AA540+Engagements!AA551+Engagements!AA562+Engagements!AA543+Engagements!AA554+Engagements!AA565</f>
        <v>528285.900486604</v>
      </c>
      <c r="AB197" s="62" t="n">
        <f aca="false">Engagements!AB540+Engagements!AB551+Engagements!AB562+Engagements!AB543+Engagements!AB554+Engagements!AB565</f>
        <v>568936.027921969</v>
      </c>
    </row>
    <row r="198" customFormat="false" ht="15" hidden="false" customHeight="false" outlineLevel="0" collapsed="false">
      <c r="A198" s="29" t="s">
        <v>949</v>
      </c>
      <c r="B198" s="60" t="s">
        <v>950</v>
      </c>
      <c r="C198" s="61" t="n">
        <f aca="false">SUM(E198:P198)</f>
        <v>19854.3572351802</v>
      </c>
      <c r="D198" s="61" t="n">
        <f aca="false">SUM(Q198:AB198)</f>
        <v>769032.991083723</v>
      </c>
      <c r="E198" s="62" t="n">
        <f aca="false">E197*Client_Register!$E$20</f>
        <v>0</v>
      </c>
      <c r="F198" s="62" t="n">
        <f aca="false">F197*Client_Register!$E$20</f>
        <v>0</v>
      </c>
      <c r="G198" s="62" t="n">
        <f aca="false">G197*Client_Register!$E$20</f>
        <v>0</v>
      </c>
      <c r="H198" s="62" t="n">
        <f aca="false">H197*Client_Register!$E$20</f>
        <v>0</v>
      </c>
      <c r="I198" s="62" t="n">
        <f aca="false">I197*Client_Register!$E$20</f>
        <v>0</v>
      </c>
      <c r="J198" s="62" t="n">
        <f aca="false">J197*Client_Register!$E$20</f>
        <v>0</v>
      </c>
      <c r="K198" s="62" t="n">
        <f aca="false">K197*Client_Register!$E$20</f>
        <v>0</v>
      </c>
      <c r="L198" s="62" t="n">
        <f aca="false">L197*Client_Register!$E$20</f>
        <v>0</v>
      </c>
      <c r="M198" s="62" t="n">
        <f aca="false">M197*Client_Register!$E$20</f>
        <v>0</v>
      </c>
      <c r="N198" s="62" t="n">
        <f aca="false">N197*Client_Register!$E$20</f>
        <v>0</v>
      </c>
      <c r="O198" s="62" t="n">
        <f aca="false">O197*Client_Register!$E$20</f>
        <v>0</v>
      </c>
      <c r="P198" s="62" t="n">
        <f aca="false">P197*Client_Register!$E$20</f>
        <v>19854.3572351802</v>
      </c>
      <c r="Q198" s="62" t="n">
        <f aca="false">Q197*Client_Register!$E$20</f>
        <v>19915.2131731458</v>
      </c>
      <c r="R198" s="62" t="n">
        <f aca="false">R197*Client_Register!$E$20</f>
        <v>21437.573783167</v>
      </c>
      <c r="S198" s="62" t="n">
        <f aca="false">S197*Client_Register!$E$20</f>
        <v>22743.204637176</v>
      </c>
      <c r="T198" s="62" t="n">
        <f aca="false">T197*Client_Register!$E$20</f>
        <v>33010.884092783</v>
      </c>
      <c r="U198" s="62" t="n">
        <f aca="false">U197*Client_Register!$E$20</f>
        <v>60978.2753254232</v>
      </c>
      <c r="V198" s="62" t="n">
        <f aca="false">V197*Client_Register!$E$20</f>
        <v>51635.5496489708</v>
      </c>
      <c r="W198" s="62" t="n">
        <f aca="false">W197*Client_Register!$E$20</f>
        <v>78573.2840134623</v>
      </c>
      <c r="X198" s="62" t="n">
        <f aca="false">X197*Client_Register!$E$20</f>
        <v>85681.6987466142</v>
      </c>
      <c r="Y198" s="62" t="n">
        <f aca="false">Y197*Client_Register!$E$20</f>
        <v>83101.949867344</v>
      </c>
      <c r="Z198" s="62" t="n">
        <f aca="false">Z197*Client_Register!$E$20</f>
        <v>103483.191398008</v>
      </c>
      <c r="AA198" s="62" t="n">
        <f aca="false">AA197*Client_Register!$E$20</f>
        <v>100374.321092455</v>
      </c>
      <c r="AB198" s="62" t="n">
        <f aca="false">AB197*Client_Register!$E$20</f>
        <v>108097.845305174</v>
      </c>
    </row>
    <row r="199" customFormat="false" ht="15" hidden="false" customHeight="false" outlineLevel="0" collapsed="false">
      <c r="A199" s="68" t="s">
        <v>951</v>
      </c>
      <c r="B199" s="69"/>
      <c r="C199" s="70" t="n">
        <f aca="false">SUM(E199:P199)</f>
        <v>124350.974262444</v>
      </c>
      <c r="D199" s="70" t="n">
        <f aca="false">SUM(Q199:AB199)</f>
        <v>4816575.04941911</v>
      </c>
      <c r="E199" s="70" t="n">
        <f aca="false">E197+E198</f>
        <v>0</v>
      </c>
      <c r="F199" s="70" t="n">
        <f aca="false">F197+F198</f>
        <v>0</v>
      </c>
      <c r="G199" s="70" t="n">
        <f aca="false">G197+G198</f>
        <v>0</v>
      </c>
      <c r="H199" s="70" t="n">
        <f aca="false">H197+H198</f>
        <v>0</v>
      </c>
      <c r="I199" s="70" t="n">
        <f aca="false">I197+I198</f>
        <v>0</v>
      </c>
      <c r="J199" s="70" t="n">
        <f aca="false">J197+J198</f>
        <v>0</v>
      </c>
      <c r="K199" s="70" t="n">
        <f aca="false">K197+K198</f>
        <v>0</v>
      </c>
      <c r="L199" s="70" t="n">
        <f aca="false">L197+L198</f>
        <v>0</v>
      </c>
      <c r="M199" s="70" t="n">
        <f aca="false">M197+M198</f>
        <v>0</v>
      </c>
      <c r="N199" s="70" t="n">
        <f aca="false">N197+N198</f>
        <v>0</v>
      </c>
      <c r="O199" s="70" t="n">
        <f aca="false">O197+O198</f>
        <v>0</v>
      </c>
      <c r="P199" s="70" t="n">
        <f aca="false">P197+P198</f>
        <v>124350.974262444</v>
      </c>
      <c r="Q199" s="70" t="n">
        <f aca="false">Q197+Q198</f>
        <v>124732.124610755</v>
      </c>
      <c r="R199" s="70" t="n">
        <f aca="false">R197+R198</f>
        <v>134266.909484046</v>
      </c>
      <c r="S199" s="70" t="n">
        <f aca="false">S197+S198</f>
        <v>142444.281674944</v>
      </c>
      <c r="T199" s="70" t="n">
        <f aca="false">T197+T198</f>
        <v>206752.379317956</v>
      </c>
      <c r="U199" s="70" t="n">
        <f aca="false">U197+U198</f>
        <v>381916.566511861</v>
      </c>
      <c r="V199" s="70" t="n">
        <f aca="false">V197+V198</f>
        <v>323401.600433027</v>
      </c>
      <c r="W199" s="70" t="n">
        <f aca="false">W197+W198</f>
        <v>492116.884084317</v>
      </c>
      <c r="X199" s="70" t="n">
        <f aca="false">X197+X198</f>
        <v>536638.00793932</v>
      </c>
      <c r="Y199" s="70" t="n">
        <f aca="false">Y197+Y198</f>
        <v>520480.633379681</v>
      </c>
      <c r="Z199" s="70" t="n">
        <f aca="false">Z197+Z198</f>
        <v>648131.567176997</v>
      </c>
      <c r="AA199" s="70" t="n">
        <f aca="false">AA197+AA198</f>
        <v>628660.221579058</v>
      </c>
      <c r="AB199" s="70" t="n">
        <f aca="false">AB197+AB198</f>
        <v>677033.873227143</v>
      </c>
    </row>
    <row r="200" customFormat="false" ht="15" hidden="false" customHeight="false" outlineLevel="0" collapsed="false">
      <c r="A200" s="29" t="s">
        <v>952</v>
      </c>
      <c r="B200" s="60" t="s">
        <v>953</v>
      </c>
      <c r="C200" s="61" t="n">
        <f aca="false">SUM(E200:P200)</f>
        <v>0</v>
      </c>
      <c r="D200" s="61" t="n">
        <f aca="false">SUM(Q200:AB200)</f>
        <v>4159115.4468579</v>
      </c>
      <c r="E200" s="62" t="n">
        <f aca="false">IF(E$5="A",0,Client_Register!$J$20+E199-(E199*MIN(1,Client_Register!$I$20/30)+0*MIN(1,MAX(0,(Client_Register!$I$20-30)/30))+0*MIN(1,MAX(0,(Client_Register!$I$20-60)/30))))</f>
        <v>0</v>
      </c>
      <c r="F200" s="62" t="n">
        <f aca="false">IF(F$5="A",0,E201+F199-(F199*MIN(1,Client_Register!$I$20/30)+E199*MIN(1,MAX(0,(Client_Register!$I$20-30)/30))+0*MIN(1,MAX(0,(Client_Register!$I$20-60)/30))))</f>
        <v>0</v>
      </c>
      <c r="G200" s="62" t="n">
        <f aca="false">IF(G$5="A",0,F201+G199-(G199*MIN(1,Client_Register!$I$20/30)+F199*MIN(1,MAX(0,(Client_Register!$I$20-30)/30))+E199*MIN(1,MAX(0,(Client_Register!$I$20-60)/30))))</f>
        <v>0</v>
      </c>
      <c r="H200" s="62" t="n">
        <f aca="false">IF(H$5="A",0,G201+H199-(H199*MIN(1,Client_Register!$I$20/30)+G199*MIN(1,MAX(0,(Client_Register!$I$20-30)/30))+F199*MIN(1,MAX(0,(Client_Register!$I$20-60)/30))))</f>
        <v>0</v>
      </c>
      <c r="I200" s="62" t="n">
        <f aca="false">IF(I$5="A",0,H201+I199-(I199*MIN(1,Client_Register!$I$20/30)+H199*MIN(1,MAX(0,(Client_Register!$I$20-30)/30))+G199*MIN(1,MAX(0,(Client_Register!$I$20-60)/30))))</f>
        <v>0</v>
      </c>
      <c r="J200" s="62" t="n">
        <f aca="false">IF(J$5="A",0,I201+J199-(J199*MIN(1,Client_Register!$I$20/30)+I199*MIN(1,MAX(0,(Client_Register!$I$20-30)/30))+H199*MIN(1,MAX(0,(Client_Register!$I$20-60)/30))))</f>
        <v>0</v>
      </c>
      <c r="K200" s="62" t="n">
        <f aca="false">IF(K$5="A",0,J201+K199-(K199*MIN(1,Client_Register!$I$20/30)+J199*MIN(1,MAX(0,(Client_Register!$I$20-30)/30))+I199*MIN(1,MAX(0,(Client_Register!$I$20-60)/30))))</f>
        <v>0</v>
      </c>
      <c r="L200" s="62" t="n">
        <f aca="false">IF(L$5="A",0,K201+L199-(L199*MIN(1,Client_Register!$I$20/30)+K199*MIN(1,MAX(0,(Client_Register!$I$20-30)/30))+J199*MIN(1,MAX(0,(Client_Register!$I$20-60)/30))))</f>
        <v>0</v>
      </c>
      <c r="M200" s="62" t="n">
        <f aca="false">IF(M$5="A",0,L201+M199-(M199*MIN(1,Client_Register!$I$20/30)+L199*MIN(1,MAX(0,(Client_Register!$I$20-30)/30))+K199*MIN(1,MAX(0,(Client_Register!$I$20-60)/30))))</f>
        <v>0</v>
      </c>
      <c r="N200" s="62" t="n">
        <f aca="false">IF(N$5="A",0,M201+N199-(N199*MIN(1,Client_Register!$I$20/30)+M199*MIN(1,MAX(0,(Client_Register!$I$20-30)/30))+L199*MIN(1,MAX(0,(Client_Register!$I$20-60)/30))))</f>
        <v>0</v>
      </c>
      <c r="O200" s="62" t="n">
        <f aca="false">IF(O$5="A",0,N201+O199-(O199*MIN(1,Client_Register!$I$20/30)+N199*MIN(1,MAX(0,(Client_Register!$I$20-30)/30))+M199*MIN(1,MAX(0,(Client_Register!$I$20-60)/30))))</f>
        <v>0</v>
      </c>
      <c r="P200" s="62" t="n">
        <f aca="false">IF(P$5="A",0,O201+P199-(P199*MIN(1,Client_Register!$I$20/30)+O199*MIN(1,MAX(0,(Client_Register!$I$20-30)/30))+N199*MIN(1,MAX(0,(Client_Register!$I$20-60)/30))))</f>
        <v>0</v>
      </c>
      <c r="Q200" s="62" t="n">
        <f aca="false">IF(Q$5="A",0,P201+Q199-(Q199*MIN(1,Client_Register!$I$20/30)+P199*MIN(1,MAX(0,(Client_Register!$I$20-30)/30))+O199*MIN(1,MAX(0,(Client_Register!$I$20-60)/30))))</f>
        <v>103625.81188537</v>
      </c>
      <c r="R200" s="62" t="n">
        <f aca="false">IF(R$5="A",0,Q201+R199-(R199*MIN(1,Client_Register!$I$20/30)+Q199*MIN(1,MAX(0,(Client_Register!$I$20-30)/30))+P199*MIN(1,MAX(0,(Client_Register!$I$20-60)/30))))</f>
        <v>124668.599552703</v>
      </c>
      <c r="S200" s="62" t="n">
        <f aca="false">IF(S$5="A",0,R201+S199-(S199*MIN(1,Client_Register!$I$20/30)+R199*MIN(1,MAX(0,(Client_Register!$I$20-30)/30))+Q199*MIN(1,MAX(0,(Client_Register!$I$20-60)/30))))</f>
        <v>132677.778671831</v>
      </c>
      <c r="T200" s="62" t="n">
        <f aca="false">IF(T$5="A",0,S201+T199-(T199*MIN(1,Client_Register!$I$20/30)+S199*MIN(1,MAX(0,(Client_Register!$I$20-30)/30))+R199*MIN(1,MAX(0,(Client_Register!$I$20-60)/30))))</f>
        <v>141081.386309795</v>
      </c>
      <c r="U200" s="62" t="n">
        <f aca="false">IF(U$5="A",0,T201+U199-(U199*MIN(1,Client_Register!$I$20/30)+T199*MIN(1,MAX(0,(Client_Register!$I$20-30)/30))+S199*MIN(1,MAX(0,(Client_Register!$I$20-60)/30))))</f>
        <v>196034.363044121</v>
      </c>
      <c r="V200" s="62" t="n">
        <f aca="false">IF(V$5="A",0,U201+V199-(V199*MIN(1,Client_Register!$I$20/30)+U199*MIN(1,MAX(0,(Client_Register!$I$20-30)/30))+T199*MIN(1,MAX(0,(Client_Register!$I$20-60)/30))))</f>
        <v>352722.535312877</v>
      </c>
      <c r="W200" s="62" t="n">
        <f aca="false">IF(W$5="A",0,V201+W199-(W199*MIN(1,Client_Register!$I$20/30)+V199*MIN(1,MAX(0,(Client_Register!$I$20-30)/30))+U199*MIN(1,MAX(0,(Client_Register!$I$20-60)/30))))</f>
        <v>333154.0947795</v>
      </c>
      <c r="X200" s="62" t="n">
        <f aca="false">IF(X$5="A",0,W201+X199-(X199*MIN(1,Client_Register!$I$20/30)+W199*MIN(1,MAX(0,(Client_Register!$I$20-30)/30))+V199*MIN(1,MAX(0,(Client_Register!$I$20-60)/30))))</f>
        <v>463997.670142435</v>
      </c>
      <c r="Y200" s="62" t="n">
        <f aca="false">IF(Y$5="A",0,X201+Y199-(Y199*MIN(1,Client_Register!$I$20/30)+X199*MIN(1,MAX(0,(Client_Register!$I$20-30)/30))+W199*MIN(1,MAX(0,(Client_Register!$I$20-60)/30))))</f>
        <v>529217.820630153</v>
      </c>
      <c r="Z200" s="62" t="n">
        <f aca="false">IF(Z$5="A",0,Y201+Z199-(Z199*MIN(1,Client_Register!$I$20/30)+Y199*MIN(1,MAX(0,(Client_Register!$I$20-30)/30))+X199*MIN(1,MAX(0,(Client_Register!$I$20-60)/30))))</f>
        <v>523173.529139621</v>
      </c>
      <c r="AA200" s="62" t="n">
        <f aca="false">IF(AA$5="A",0,Z201+AA199-(AA199*MIN(1,Client_Register!$I$20/30)+Z199*MIN(1,MAX(0,(Client_Register!$I$20-30)/30))+Y199*MIN(1,MAX(0,(Client_Register!$I$20-60)/30))))</f>
        <v>626856.411544111</v>
      </c>
      <c r="AB200" s="62" t="n">
        <f aca="false">IF(AB$5="A",0,AA201+AB199-(AB199*MIN(1,Client_Register!$I$20/30)+AA199*MIN(1,MAX(0,(Client_Register!$I$20-30)/30))+Z199*MIN(1,MAX(0,(Client_Register!$I$20-60)/30))))</f>
        <v>631905.445845382</v>
      </c>
    </row>
    <row r="201" customFormat="false" ht="15" hidden="false" customHeight="false" outlineLevel="0" collapsed="false">
      <c r="A201" s="68" t="s">
        <v>954</v>
      </c>
      <c r="B201" s="69" t="s">
        <v>955</v>
      </c>
      <c r="C201" s="70" t="n">
        <f aca="false">P201</f>
        <v>124350.974262444</v>
      </c>
      <c r="D201" s="70" t="n">
        <f aca="false">AB201</f>
        <v>781810.576823653</v>
      </c>
      <c r="E201" s="74" t="n">
        <f aca="false">Client_Register!$J$20+E199-E200</f>
        <v>0</v>
      </c>
      <c r="F201" s="70" t="n">
        <f aca="false">E201+F199-F200</f>
        <v>0</v>
      </c>
      <c r="G201" s="70" t="n">
        <f aca="false">F201+G199-G200</f>
        <v>0</v>
      </c>
      <c r="H201" s="70" t="n">
        <f aca="false">G201+H199-H200</f>
        <v>0</v>
      </c>
      <c r="I201" s="70" t="n">
        <f aca="false">H201+I199-I200</f>
        <v>0</v>
      </c>
      <c r="J201" s="70" t="n">
        <f aca="false">I201+J199-J200</f>
        <v>0</v>
      </c>
      <c r="K201" s="70" t="n">
        <f aca="false">J201+K199-K200</f>
        <v>0</v>
      </c>
      <c r="L201" s="70" t="n">
        <f aca="false">K201+L199-L200</f>
        <v>0</v>
      </c>
      <c r="M201" s="70" t="n">
        <f aca="false">L201+M199-M200</f>
        <v>0</v>
      </c>
      <c r="N201" s="70" t="n">
        <f aca="false">M201+N199-N200</f>
        <v>0</v>
      </c>
      <c r="O201" s="70" t="n">
        <f aca="false">N201+O199-O200</f>
        <v>0</v>
      </c>
      <c r="P201" s="70" t="n">
        <f aca="false">O201+P199-P200</f>
        <v>124350.974262444</v>
      </c>
      <c r="Q201" s="70" t="n">
        <f aca="false">P201+Q199-Q200</f>
        <v>145457.286987829</v>
      </c>
      <c r="R201" s="70" t="n">
        <f aca="false">Q201+R199-R200</f>
        <v>155055.596919172</v>
      </c>
      <c r="S201" s="70" t="n">
        <f aca="false">R201+S199-S200</f>
        <v>164822.099922285</v>
      </c>
      <c r="T201" s="70" t="n">
        <f aca="false">S201+T199-T200</f>
        <v>230493.092930447</v>
      </c>
      <c r="U201" s="70" t="n">
        <f aca="false">T201+U199-U200</f>
        <v>416375.296398187</v>
      </c>
      <c r="V201" s="70" t="n">
        <f aca="false">U201+V199-V200</f>
        <v>387054.361518338</v>
      </c>
      <c r="W201" s="70" t="n">
        <f aca="false">V201+W199-W200</f>
        <v>546017.150823155</v>
      </c>
      <c r="X201" s="70" t="n">
        <f aca="false">W201+X199-X200</f>
        <v>618657.48862004</v>
      </c>
      <c r="Y201" s="70" t="n">
        <f aca="false">X201+Y199-Y200</f>
        <v>609920.301369568</v>
      </c>
      <c r="Z201" s="70" t="n">
        <f aca="false">Y201+Z199-Z200</f>
        <v>734878.339406944</v>
      </c>
      <c r="AA201" s="70" t="n">
        <f aca="false">Z201+AA199-AA200</f>
        <v>736682.149441891</v>
      </c>
      <c r="AB201" s="70" t="n">
        <f aca="false">AA201+AB199-AB200</f>
        <v>781810.576823653</v>
      </c>
    </row>
    <row r="202" customFormat="false" ht="15" hidden="false" customHeight="false" outlineLevel="0" collapsed="false">
      <c r="A202" s="29" t="s">
        <v>956</v>
      </c>
      <c r="B202" s="60"/>
      <c r="C202" s="66" t="n">
        <f aca="false">P202</f>
        <v>92</v>
      </c>
      <c r="D202" s="66" t="n">
        <f aca="false">AB202</f>
        <v>36.8131990828538</v>
      </c>
      <c r="E202" s="67" t="n">
        <f aca="false">IFERROR(E201/SUM(E199:E199)*SUM(Assumptions!E$191:E$191),0)</f>
        <v>0</v>
      </c>
      <c r="F202" s="67" t="n">
        <f aca="false">IFERROR(F201/SUM(E199:F199)*SUM(Assumptions!E$191:F$191),0)</f>
        <v>0</v>
      </c>
      <c r="G202" s="67" t="n">
        <f aca="false">IFERROR(G201/SUM(E199:G199)*SUM(Assumptions!E$191:G$191),0)</f>
        <v>0</v>
      </c>
      <c r="H202" s="67" t="n">
        <f aca="false">IFERROR(H201/SUM(F199:H199)*SUM(Assumptions!F$191:H$191),0)</f>
        <v>0</v>
      </c>
      <c r="I202" s="67" t="n">
        <f aca="false">IFERROR(I201/SUM(G199:I199)*SUM(Assumptions!G$191:I$191),0)</f>
        <v>0</v>
      </c>
      <c r="J202" s="67" t="n">
        <f aca="false">IFERROR(J201/SUM(H199:J199)*SUM(Assumptions!H$191:J$191),0)</f>
        <v>0</v>
      </c>
      <c r="K202" s="67" t="n">
        <f aca="false">IFERROR(K201/SUM(I199:K199)*SUM(Assumptions!I$191:K$191),0)</f>
        <v>0</v>
      </c>
      <c r="L202" s="67" t="n">
        <f aca="false">IFERROR(L201/SUM(J199:L199)*SUM(Assumptions!J$191:L$191),0)</f>
        <v>0</v>
      </c>
      <c r="M202" s="67" t="n">
        <f aca="false">IFERROR(M201/SUM(K199:M199)*SUM(Assumptions!K$191:M$191),0)</f>
        <v>0</v>
      </c>
      <c r="N202" s="67" t="n">
        <f aca="false">IFERROR(N201/SUM(L199:N199)*SUM(Assumptions!L$191:N$191),0)</f>
        <v>0</v>
      </c>
      <c r="O202" s="67" t="n">
        <f aca="false">IFERROR(O201/SUM(M199:O199)*SUM(Assumptions!M$191:O$191),0)</f>
        <v>0</v>
      </c>
      <c r="P202" s="67" t="n">
        <f aca="false">IFERROR(P201/SUM(N199:P199)*SUM(Assumptions!N$191:P$191),0)</f>
        <v>92</v>
      </c>
      <c r="Q202" s="67" t="n">
        <f aca="false">IFERROR(Q201/SUM(O199:Q199)*SUM(Assumptions!O$191:Q$191),0)</f>
        <v>53.7253248551107</v>
      </c>
      <c r="R202" s="67" t="n">
        <f aca="false">IFERROR(R201/SUM(P199:R199)*SUM(Assumptions!P$191:R$191),0)</f>
        <v>36.4027740146043</v>
      </c>
      <c r="S202" s="67" t="n">
        <f aca="false">IFERROR(S201/SUM(Q199:S199)*SUM(Assumptions!Q$191:S$191),0)</f>
        <v>36.9516402697161</v>
      </c>
      <c r="T202" s="67" t="n">
        <f aca="false">IFERROR(T201/SUM(R199:T199)*SUM(Assumptions!R$191:T$191),0)</f>
        <v>42.4310879319665</v>
      </c>
      <c r="U202" s="67" t="n">
        <f aca="false">IFERROR(U201/SUM(S199:U199)*SUM(Assumptions!S$191:U$191),0)</f>
        <v>52.3947944415815</v>
      </c>
      <c r="V202" s="67" t="n">
        <f aca="false">IFERROR(V201/SUM(T199:V199)*SUM(Assumptions!T$191:V$191),0)</f>
        <v>38.6175686107709</v>
      </c>
      <c r="W202" s="67" t="n">
        <f aca="false">IFERROR(W201/SUM(U199:W199)*SUM(Assumptions!U$191:W$191),0)</f>
        <v>41.950983339392</v>
      </c>
      <c r="X202" s="67" t="n">
        <f aca="false">IFERROR(X201/SUM(V199:X199)*SUM(Assumptions!V$191:X$191),0)</f>
        <v>42.0931225568684</v>
      </c>
      <c r="Y202" s="67" t="n">
        <f aca="false">IFERROR(Y201/SUM(W199:Y199)*SUM(Assumptions!W$191:Y$191),0)</f>
        <v>36.2195849539354</v>
      </c>
      <c r="Z202" s="67" t="n">
        <f aca="false">IFERROR(Z201/SUM(X199:Z199)*SUM(Assumptions!X$191:Z$191),0)</f>
        <v>39.6474411136819</v>
      </c>
      <c r="AA202" s="67" t="n">
        <f aca="false">IFERROR(AA201/SUM(Y199:AA199)*SUM(Assumptions!Y$191:AA$191),0)</f>
        <v>37.2998966509203</v>
      </c>
      <c r="AB202" s="67" t="n">
        <f aca="false">IFERROR(AB201/SUM(Z199:AB199)*SUM(Assumptions!Z$191:AB$191),0)</f>
        <v>36.8131990828538</v>
      </c>
    </row>
    <row r="203" customFormat="false" ht="15" hidden="false" customHeight="false" outlineLevel="0" collapsed="false">
      <c r="A203" s="29" t="s">
        <v>957</v>
      </c>
      <c r="B203" s="60" t="s">
        <v>51</v>
      </c>
      <c r="C203" s="61" t="n">
        <f aca="false">P203</f>
        <v>104816.911437609</v>
      </c>
      <c r="D203" s="61" t="n">
        <f aca="false">AB203</f>
        <v>615462.094696268</v>
      </c>
      <c r="E203" s="62" t="n">
        <f aca="false">Engagements!E544+Engagements!E555+Engagements!E566</f>
        <v>0</v>
      </c>
      <c r="F203" s="62" t="n">
        <f aca="false">Engagements!F544+Engagements!F555+Engagements!F566</f>
        <v>0</v>
      </c>
      <c r="G203" s="62" t="n">
        <f aca="false">Engagements!G544+Engagements!G555+Engagements!G566</f>
        <v>0</v>
      </c>
      <c r="H203" s="62" t="n">
        <f aca="false">Engagements!H544+Engagements!H555+Engagements!H566</f>
        <v>0</v>
      </c>
      <c r="I203" s="62" t="n">
        <f aca="false">Engagements!I544+Engagements!I555+Engagements!I566</f>
        <v>0</v>
      </c>
      <c r="J203" s="62" t="n">
        <f aca="false">Engagements!J544+Engagements!J555+Engagements!J566</f>
        <v>0</v>
      </c>
      <c r="K203" s="62" t="n">
        <f aca="false">Engagements!K544+Engagements!K555+Engagements!K566</f>
        <v>0</v>
      </c>
      <c r="L203" s="62" t="n">
        <f aca="false">Engagements!L544+Engagements!L555+Engagements!L566</f>
        <v>0</v>
      </c>
      <c r="M203" s="62" t="n">
        <f aca="false">Engagements!M544+Engagements!M555+Engagements!M566</f>
        <v>0</v>
      </c>
      <c r="N203" s="62" t="n">
        <f aca="false">Engagements!N544+Engagements!N555+Engagements!N566</f>
        <v>0</v>
      </c>
      <c r="O203" s="62" t="n">
        <f aca="false">Engagements!O544+Engagements!O555+Engagements!O566</f>
        <v>104496.617027264</v>
      </c>
      <c r="P203" s="62" t="n">
        <f aca="false">Engagements!P544+Engagements!P555+Engagements!P566</f>
        <v>104816.911437609</v>
      </c>
      <c r="Q203" s="62" t="n">
        <f aca="false">Engagements!Q544+Engagements!Q555+Engagements!Q566</f>
        <v>112829.335700879</v>
      </c>
      <c r="R203" s="62" t="n">
        <f aca="false">Engagements!R544+Engagements!R555+Engagements!R566</f>
        <v>119701.077037768</v>
      </c>
      <c r="S203" s="62" t="n">
        <f aca="false">Engagements!S544+Engagements!S555+Engagements!S566</f>
        <v>173741.495225174</v>
      </c>
      <c r="T203" s="62" t="n">
        <f aca="false">Engagements!T544+Engagements!T555+Engagements!T566</f>
        <v>320938.291186438</v>
      </c>
      <c r="U203" s="62" t="n">
        <f aca="false">Engagements!U544+Engagements!U555+Engagements!U566</f>
        <v>271766.050784057</v>
      </c>
      <c r="V203" s="62" t="n">
        <f aca="false">Engagements!V544+Engagements!V555+Engagements!V566</f>
        <v>413543.600070854</v>
      </c>
      <c r="W203" s="62" t="n">
        <f aca="false">Engagements!W544+Engagements!W555+Engagements!W566</f>
        <v>450956.309192706</v>
      </c>
      <c r="X203" s="62" t="n">
        <f aca="false">Engagements!X544+Engagements!X555+Engagements!X566</f>
        <v>437378.683512337</v>
      </c>
      <c r="Y203" s="62" t="n">
        <f aca="false">Engagements!Y544+Engagements!Y555+Engagements!Y566</f>
        <v>544648.375778989</v>
      </c>
      <c r="Z203" s="62" t="n">
        <f aca="false">Engagements!Z544+Engagements!Z555+Engagements!Z566</f>
        <v>528285.900486604</v>
      </c>
      <c r="AA203" s="62" t="n">
        <f aca="false">Engagements!AA544+Engagements!AA555+Engagements!AA566</f>
        <v>568936.027921969</v>
      </c>
      <c r="AB203" s="62" t="n">
        <f aca="false">Engagements!AB544+Engagements!AB555+Engagements!AB566</f>
        <v>615462.094696268</v>
      </c>
    </row>
    <row r="205" customFormat="false" ht="15" hidden="false" customHeight="false" outlineLevel="0" collapsed="false">
      <c r="A205" s="23" t="s">
        <v>975</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row>
    <row r="206" customFormat="false" ht="15" hidden="false" customHeight="false" outlineLevel="0" collapsed="false">
      <c r="A206" s="29" t="s">
        <v>679</v>
      </c>
      <c r="B206" s="60" t="s">
        <v>976</v>
      </c>
      <c r="C206" s="61" t="n">
        <f aca="false">SUM(E206:P206)</f>
        <v>7254561.78308546</v>
      </c>
      <c r="D206" s="61" t="n">
        <f aca="false">SUM(Q206:AB206)</f>
        <v>7654855.98535179</v>
      </c>
      <c r="E206" s="71" t="n">
        <f aca="false">E9+E23+E37+E51+E65+E79+E93+E107+E121+E135+E150+E164+E178+E192</f>
        <v>457500.86</v>
      </c>
      <c r="F206" s="71" t="n">
        <f aca="false">F9+F23+F37+F51+F65+F79+F93+F107+F121+F135+F150+F164+F178+F192</f>
        <v>496184.02</v>
      </c>
      <c r="G206" s="71" t="n">
        <f aca="false">G9+G23+G37+G51+G65+G79+G93+G107+G121+G135+G150+G164+G178+G192</f>
        <v>626975.9</v>
      </c>
      <c r="H206" s="71" t="n">
        <f aca="false">H9+H23+H37+H51+H65+H79+H93+H107+H121+H135+H150+H164+H178+H192</f>
        <v>540305.01</v>
      </c>
      <c r="I206" s="71" t="n">
        <f aca="false">I9+I23+I37+I51+I65+I79+I93+I107+I121+I135+I150+I164+I178+I192</f>
        <v>558878.41</v>
      </c>
      <c r="J206" s="71" t="n">
        <f aca="false">J9+J23+J37+J51+J65+J79+J93+J107+J121+J135+J150+J164+J178+J192</f>
        <v>701548.67</v>
      </c>
      <c r="K206" s="71" t="n">
        <f aca="false">K9+K23+K37+K51+K65+K79+K93+K107+K121+K135+K150+K164+K178+K192</f>
        <v>590211.73</v>
      </c>
      <c r="L206" s="71" t="n">
        <f aca="false">L9+L23+L37+L51+L65+L79+L93+L107+L121+L135+L150+L164+L178+L192</f>
        <v>483686.24</v>
      </c>
      <c r="M206" s="71" t="n">
        <f aca="false">M9+M23+M37+M51+M65+M79+M93+M107+M121+M135+M150+M164+M178+M192</f>
        <v>734222.963251627</v>
      </c>
      <c r="N206" s="71" t="n">
        <f aca="false">N9+N23+N37+N51+N65+N79+N93+N107+N121+N135+N150+N164+N178+N192</f>
        <v>670151.355442415</v>
      </c>
      <c r="O206" s="71" t="n">
        <f aca="false">O9+O23+O37+O51+O65+O79+O93+O107+O121+O135+O150+O164+O178+O192</f>
        <v>673184.794790173</v>
      </c>
      <c r="P206" s="71" t="n">
        <f aca="false">P9+P23+P37+P51+P65+P79+P93+P107+P121+P135+P150+P164+P178+P192</f>
        <v>721711.829601243</v>
      </c>
      <c r="Q206" s="71" t="n">
        <f aca="false">Q9+Q23+Q37+Q51+Q65+Q79+Q93+Q107+Q121+Q135+Q150+Q164+Q178+Q192</f>
        <v>656991.045495948</v>
      </c>
      <c r="R206" s="71" t="n">
        <f aca="false">R9+R23+R37+R51+R65+R79+R93+R107+R121+R135+R150+R164+R178+R192</f>
        <v>681604.982506458</v>
      </c>
      <c r="S206" s="71" t="n">
        <f aca="false">S9+S23+S37+S51+S65+S79+S93+S107+S121+S135+S150+S164+S178+S192</f>
        <v>675253.039134812</v>
      </c>
      <c r="T206" s="71" t="n">
        <f aca="false">T9+T23+T37+T51+T65+T79+T93+T107+T121+T135+T150+T164+T178+T192</f>
        <v>673941.857778348</v>
      </c>
      <c r="U206" s="71" t="n">
        <f aca="false">U9+U23+U37+U51+U65+U79+U93+U107+U121+U135+U150+U164+U178+U192</f>
        <v>506486.095257692</v>
      </c>
      <c r="V206" s="71" t="n">
        <f aca="false">V9+V23+V37+V51+V65+V79+V93+V107+V121+V135+V150+V164+V178+V192</f>
        <v>673388.554336188</v>
      </c>
      <c r="W206" s="71" t="n">
        <f aca="false">W9+W23+W37+W51+W65+W79+W93+W107+W121+W135+W150+W164+W178+W192</f>
        <v>639829.028514858</v>
      </c>
      <c r="X206" s="71" t="n">
        <f aca="false">X9+X23+X37+X51+X65+X79+X93+X107+X121+X135+X150+X164+X178+X192</f>
        <v>548972.039739203</v>
      </c>
      <c r="Y206" s="71" t="n">
        <f aca="false">Y9+Y23+Y37+Y51+Y65+Y79+Y93+Y107+Y121+Y135+Y150+Y164+Y178+Y192</f>
        <v>673946.870088757</v>
      </c>
      <c r="Z206" s="71" t="n">
        <f aca="false">Z9+Z23+Z37+Z51+Z65+Z79+Z93+Z107+Z121+Z135+Z150+Z164+Z178+Z192</f>
        <v>608426.456969989</v>
      </c>
      <c r="AA206" s="71" t="n">
        <f aca="false">AA9+AA23+AA37+AA51+AA65+AA79+AA93+AA107+AA121+AA135+AA150+AA164+AA178+AA192</f>
        <v>632126.685039381</v>
      </c>
      <c r="AB206" s="71" t="n">
        <f aca="false">AB9+AB23+AB37+AB51+AB65+AB79+AB93+AB107+AB121+AB135+AB150+AB164+AB178+AB192</f>
        <v>683889.330490152</v>
      </c>
    </row>
    <row r="207" customFormat="false" ht="15" hidden="false" customHeight="false" outlineLevel="0" collapsed="false">
      <c r="A207" s="29" t="s">
        <v>498</v>
      </c>
      <c r="B207" s="60" t="s">
        <v>976</v>
      </c>
      <c r="C207" s="61" t="n">
        <f aca="false">SUM(E207:P207)</f>
        <v>409132.009334193</v>
      </c>
      <c r="D207" s="61" t="n">
        <f aca="false">SUM(Q207:AB207)</f>
        <v>484061.588335022</v>
      </c>
      <c r="E207" s="71" t="n">
        <f aca="false">E10+E24+E38+E52+E66+E80+E94+E108+E122+E136+E151+E165+E179+E193</f>
        <v>21991.74</v>
      </c>
      <c r="F207" s="71" t="n">
        <f aca="false">F10+F24+F38+F52+F66+F80+F94+F108+F122+F136+F151+F165+F179+F193</f>
        <v>29156.39</v>
      </c>
      <c r="G207" s="71" t="n">
        <f aca="false">G10+G24+G38+G52+G66+G80+G94+G108+G122+G136+G151+G165+G179+G193</f>
        <v>32102.91</v>
      </c>
      <c r="H207" s="71" t="n">
        <f aca="false">H10+H24+H38+H52+H66+H80+H94+H108+H122+H136+H151+H165+H179+H193</f>
        <v>28351.43</v>
      </c>
      <c r="I207" s="71" t="n">
        <f aca="false">I10+I24+I38+I52+I66+I80+I94+I108+I122+I136+I151+I165+I179+I193</f>
        <v>30509.27</v>
      </c>
      <c r="J207" s="71" t="n">
        <f aca="false">J10+J24+J38+J52+J66+J80+J94+J108+J122+J136+J151+J165+J179+J193</f>
        <v>42959.87</v>
      </c>
      <c r="K207" s="71" t="n">
        <f aca="false">K10+K24+K38+K52+K66+K80+K94+K108+K122+K136+K151+K165+K179+K193</f>
        <v>36687.31</v>
      </c>
      <c r="L207" s="71" t="n">
        <f aca="false">L10+L24+L38+L52+L66+L80+L94+L108+L122+L136+L151+L165+L179+L193</f>
        <v>27215.38</v>
      </c>
      <c r="M207" s="71" t="n">
        <f aca="false">M10+M24+M38+M52+M66+M80+M94+M108+M122+M136+M151+M165+M179+M193</f>
        <v>44987.2644517755</v>
      </c>
      <c r="N207" s="71" t="n">
        <f aca="false">N10+N24+N38+N52+N66+N80+N94+N108+N122+N136+N151+N165+N179+N193</f>
        <v>37366.5123514487</v>
      </c>
      <c r="O207" s="71" t="n">
        <f aca="false">O10+O24+O38+O52+O66+O80+O94+O108+O122+O136+O151+O165+O179+O193</f>
        <v>36176.4418000003</v>
      </c>
      <c r="P207" s="71" t="n">
        <f aca="false">P10+P24+P38+P52+P66+P80+P94+P108+P122+P136+P151+P165+P179+P193</f>
        <v>41627.4907309686</v>
      </c>
      <c r="Q207" s="71" t="n">
        <f aca="false">Q10+Q24+Q38+Q52+Q66+Q80+Q94+Q108+Q122+Q136+Q151+Q165+Q179+Q193</f>
        <v>41298.2269325128</v>
      </c>
      <c r="R207" s="71" t="n">
        <f aca="false">R10+R24+R38+R52+R66+R80+R94+R108+R122+R136+R151+R165+R179+R193</f>
        <v>42765.075902863</v>
      </c>
      <c r="S207" s="71" t="n">
        <f aca="false">S10+S24+S38+S52+S66+S80+S94+S108+S122+S136+S151+S165+S179+S193</f>
        <v>42762.4184206476</v>
      </c>
      <c r="T207" s="71" t="n">
        <f aca="false">T10+T24+T38+T52+T66+T80+T94+T108+T122+T136+T151+T165+T179+T193</f>
        <v>43228.7828790233</v>
      </c>
      <c r="U207" s="71" t="n">
        <f aca="false">U10+U24+U38+U52+U66+U80+U94+U108+U122+U136+U151+U165+U179+U193</f>
        <v>32907.0823216882</v>
      </c>
      <c r="V207" s="71" t="n">
        <f aca="false">V10+V24+V38+V52+V66+V80+V94+V108+V122+V136+V151+V165+V179+V193</f>
        <v>42613.4382832617</v>
      </c>
      <c r="W207" s="71" t="n">
        <f aca="false">W10+W24+W38+W52+W66+W80+W94+W108+W122+W136+W151+W165+W179+W193</f>
        <v>40951.545655548</v>
      </c>
      <c r="X207" s="71" t="n">
        <f aca="false">X10+X24+X38+X52+X66+X80+X94+X108+X122+X136+X151+X165+X179+X193</f>
        <v>34708.6536166995</v>
      </c>
      <c r="Y207" s="71" t="n">
        <f aca="false">Y10+Y24+Y38+Y52+Y66+Y80+Y94+Y108+Y122+Y136+Y151+Y165+Y179+Y193</f>
        <v>43193.3814934483</v>
      </c>
      <c r="Z207" s="71" t="n">
        <f aca="false">Z10+Z24+Z38+Z52+Z66+Z80+Z94+Z108+Z122+Z136+Z151+Z165+Z179+Z193</f>
        <v>37756.7556521676</v>
      </c>
      <c r="AA207" s="71" t="n">
        <f aca="false">AA10+AA24+AA38+AA52+AA66+AA80+AA94+AA108+AA122+AA136+AA151+AA165+AA179+AA193</f>
        <v>39331.5852469667</v>
      </c>
      <c r="AB207" s="71" t="n">
        <f aca="false">AB10+AB24+AB38+AB52+AB66+AB80+AB94+AB108+AB122+AB136+AB151+AB165+AB179+AB193</f>
        <v>42544.6419301955</v>
      </c>
    </row>
    <row r="208" customFormat="false" ht="15" hidden="false" customHeight="false" outlineLevel="0" collapsed="false">
      <c r="A208" s="68" t="s">
        <v>351</v>
      </c>
      <c r="B208" s="69" t="s">
        <v>976</v>
      </c>
      <c r="C208" s="70" t="n">
        <f aca="false">SUM(E208:P208)</f>
        <v>7663693.79241965</v>
      </c>
      <c r="D208" s="70" t="n">
        <f aca="false">SUM(Q208:AB208)</f>
        <v>8138917.57368681</v>
      </c>
      <c r="E208" s="70" t="n">
        <f aca="false">E11+E25+E39+E53+E67+E81+E95+E109+E123+E137+E152+E166+E180+E194</f>
        <v>479492.6</v>
      </c>
      <c r="F208" s="70" t="n">
        <f aca="false">F11+F25+F39+F53+F67+F81+F95+F109+F123+F137+F152+F166+F180+F194</f>
        <v>525340.41</v>
      </c>
      <c r="G208" s="70" t="n">
        <f aca="false">G11+G25+G39+G53+G67+G81+G95+G109+G123+G137+G152+G166+G180+G194</f>
        <v>659078.81</v>
      </c>
      <c r="H208" s="70" t="n">
        <f aca="false">H11+H25+H39+H53+H67+H81+H95+H109+H123+H137+H152+H166+H180+H194</f>
        <v>568656.44</v>
      </c>
      <c r="I208" s="70" t="n">
        <f aca="false">I11+I25+I39+I53+I67+I81+I95+I109+I123+I137+I152+I166+I180+I194</f>
        <v>589387.68</v>
      </c>
      <c r="J208" s="70" t="n">
        <f aca="false">J11+J25+J39+J53+J67+J81+J95+J109+J123+J137+J152+J166+J180+J194</f>
        <v>744508.54</v>
      </c>
      <c r="K208" s="70" t="n">
        <f aca="false">K11+K25+K39+K53+K67+K81+K95+K109+K123+K137+K152+K166+K180+K194</f>
        <v>626899.04</v>
      </c>
      <c r="L208" s="70" t="n">
        <f aca="false">L11+L25+L39+L53+L67+L81+L95+L109+L123+L137+L152+L166+L180+L194</f>
        <v>510901.62</v>
      </c>
      <c r="M208" s="70" t="n">
        <f aca="false">M11+M25+M39+M53+M67+M81+M95+M109+M123+M137+M152+M166+M180+M194</f>
        <v>779210.227703403</v>
      </c>
      <c r="N208" s="70" t="n">
        <f aca="false">N11+N25+N39+N53+N67+N81+N95+N109+N123+N137+N152+N166+N180+N194</f>
        <v>707517.867793864</v>
      </c>
      <c r="O208" s="70" t="n">
        <f aca="false">O11+O25+O39+O53+O67+O81+O95+O109+O123+O137+O152+O166+O180+O194</f>
        <v>709361.236590173</v>
      </c>
      <c r="P208" s="70" t="n">
        <f aca="false">P11+P25+P39+P53+P67+P81+P95+P109+P123+P137+P152+P166+P180+P194</f>
        <v>763339.320332212</v>
      </c>
      <c r="Q208" s="70" t="n">
        <f aca="false">Q11+Q25+Q39+Q53+Q67+Q81+Q95+Q109+Q123+Q137+Q152+Q166+Q180+Q194</f>
        <v>698289.27242846</v>
      </c>
      <c r="R208" s="70" t="n">
        <f aca="false">R11+R25+R39+R53+R67+R81+R95+R109+R123+R137+R152+R166+R180+R194</f>
        <v>724370.058409321</v>
      </c>
      <c r="S208" s="70" t="n">
        <f aca="false">S11+S25+S39+S53+S67+S81+S95+S109+S123+S137+S152+S166+S180+S194</f>
        <v>718015.45755546</v>
      </c>
      <c r="T208" s="70" t="n">
        <f aca="false">T11+T25+T39+T53+T67+T81+T95+T109+T123+T137+T152+T166+T180+T194</f>
        <v>717170.640657371</v>
      </c>
      <c r="U208" s="70" t="n">
        <f aca="false">U11+U25+U39+U53+U67+U81+U95+U109+U123+U137+U152+U166+U180+U194</f>
        <v>539393.17757938</v>
      </c>
      <c r="V208" s="70" t="n">
        <f aca="false">V11+V25+V39+V53+V67+V81+V95+V109+V123+V137+V152+V166+V180+V194</f>
        <v>716001.992619449</v>
      </c>
      <c r="W208" s="70" t="n">
        <f aca="false">W11+W25+W39+W53+W67+W81+W95+W109+W123+W137+W152+W166+W180+W194</f>
        <v>680780.574170406</v>
      </c>
      <c r="X208" s="70" t="n">
        <f aca="false">X11+X25+X39+X53+X67+X81+X95+X109+X123+X137+X152+X166+X180+X194</f>
        <v>583680.693355902</v>
      </c>
      <c r="Y208" s="70" t="n">
        <f aca="false">Y11+Y25+Y39+Y53+Y67+Y81+Y95+Y109+Y123+Y137+Y152+Y166+Y180+Y194</f>
        <v>717140.251582205</v>
      </c>
      <c r="Z208" s="70" t="n">
        <f aca="false">Z11+Z25+Z39+Z53+Z67+Z81+Z95+Z109+Z123+Z137+Z152+Z166+Z180+Z194</f>
        <v>646183.212622157</v>
      </c>
      <c r="AA208" s="70" t="n">
        <f aca="false">AA11+AA25+AA39+AA53+AA67+AA81+AA95+AA109+AA123+AA137+AA152+AA166+AA180+AA194</f>
        <v>671458.270286347</v>
      </c>
      <c r="AB208" s="70" t="n">
        <f aca="false">AB11+AB25+AB39+AB53+AB67+AB81+AB95+AB109+AB123+AB137+AB152+AB166+AB180+AB194</f>
        <v>726433.972420348</v>
      </c>
    </row>
    <row r="209" customFormat="false" ht="15" hidden="false" customHeight="false" outlineLevel="0" collapsed="false">
      <c r="A209" s="29" t="s">
        <v>901</v>
      </c>
      <c r="B209" s="60" t="s">
        <v>976</v>
      </c>
      <c r="C209" s="66" t="n">
        <f aca="false">SUM(E209:P209)</f>
        <v>40640.9367773469</v>
      </c>
      <c r="D209" s="66" t="n">
        <f aca="false">SUM(Q209:AB209)</f>
        <v>41687.1974458871</v>
      </c>
      <c r="E209" s="72" t="n">
        <f aca="false">E12+E26+E40+E54+E68+E82+E96+E110+E124+E138+E153+E167+E181+E195</f>
        <v>2518.7</v>
      </c>
      <c r="F209" s="72" t="n">
        <f aca="false">F12+F26+F40+F54+F68+F82+F96+F110+F124+F138+F153+F167+F181+F195</f>
        <v>2774.8</v>
      </c>
      <c r="G209" s="72" t="n">
        <f aca="false">G12+G26+G40+G54+G68+G82+G96+G110+G124+G138+G153+G167+G181+G195</f>
        <v>3591.3</v>
      </c>
      <c r="H209" s="72" t="n">
        <f aca="false">H12+H26+H40+H54+H68+H82+H96+H110+H124+H138+H153+H167+H181+H195</f>
        <v>3102.8</v>
      </c>
      <c r="I209" s="72" t="n">
        <f aca="false">I12+I26+I40+I54+I68+I82+I96+I110+I124+I138+I153+I167+I181+I195</f>
        <v>3143.9</v>
      </c>
      <c r="J209" s="72" t="n">
        <f aca="false">J12+J26+J40+J54+J68+J82+J96+J110+J124+J138+J153+J167+J181+J195</f>
        <v>3918.4</v>
      </c>
      <c r="K209" s="72" t="n">
        <f aca="false">K12+K26+K40+K54+K68+K82+K96+K110+K124+K138+K153+K167+K181+K195</f>
        <v>3342.7</v>
      </c>
      <c r="L209" s="72" t="n">
        <f aca="false">L12+L26+L40+L54+L68+L82+L96+L110+L124+L138+L153+L167+L181+L195</f>
        <v>2659.5</v>
      </c>
      <c r="M209" s="72" t="n">
        <f aca="false">M12+M26+M40+M54+M68+M82+M96+M110+M124+M138+M153+M167+M181+M195</f>
        <v>4170.75702260542</v>
      </c>
      <c r="N209" s="72" t="n">
        <f aca="false">N12+N26+N40+N54+N68+N82+N96+N110+N124+N138+N153+N167+N181+N195</f>
        <v>3685.49665707846</v>
      </c>
      <c r="O209" s="72" t="n">
        <f aca="false">O12+O26+O40+O54+O68+O82+O96+O110+O124+O138+O153+O167+O181+O195</f>
        <v>3720.41305085979</v>
      </c>
      <c r="P209" s="72" t="n">
        <f aca="false">P12+P26+P40+P54+P68+P82+P96+P110+P124+P138+P153+P167+P181+P195</f>
        <v>4012.17004680323</v>
      </c>
      <c r="Q209" s="72" t="n">
        <f aca="false">Q12+Q26+Q40+Q54+Q68+Q82+Q96+Q110+Q124+Q138+Q153+Q167+Q181+Q195</f>
        <v>3567.13238812627</v>
      </c>
      <c r="R209" s="72" t="n">
        <f aca="false">R12+R26+R40+R54+R68+R82+R96+R110+R124+R138+R153+R167+R181+R195</f>
        <v>3704.08566249423</v>
      </c>
      <c r="S209" s="72" t="n">
        <f aca="false">S12+S26+S40+S54+S68+S82+S96+S110+S124+S138+S153+S167+S181+S195</f>
        <v>3649.5998366153</v>
      </c>
      <c r="T209" s="72" t="n">
        <f aca="false">T12+T26+T40+T54+T68+T82+T96+T110+T124+T138+T153+T167+T181+T195</f>
        <v>3639.7054970548</v>
      </c>
      <c r="U209" s="72" t="n">
        <f aca="false">U12+U26+U40+U54+U68+U82+U96+U110+U124+U138+U153+U167+U181+U195</f>
        <v>2738.252716867</v>
      </c>
      <c r="V209" s="72" t="n">
        <f aca="false">V12+V26+V40+V54+V68+V82+V96+V110+V124+V138+V153+V167+V181+V195</f>
        <v>3650.38823416477</v>
      </c>
      <c r="W209" s="72" t="n">
        <f aca="false">W12+W26+W40+W54+W68+W82+W96+W110+W124+W138+W153+W167+W181+W195</f>
        <v>3469.49348274584</v>
      </c>
      <c r="X209" s="72" t="n">
        <f aca="false">X12+X26+X40+X54+X68+X82+X96+X110+X124+X138+X153+X167+X181+X195</f>
        <v>2982.84274272726</v>
      </c>
      <c r="Y209" s="72" t="n">
        <f aca="false">Y12+Y26+Y40+Y54+Y68+Y82+Y96+Y110+Y124+Y138+Y153+Y167+Y181+Y195</f>
        <v>3717.2894760404</v>
      </c>
      <c r="Z209" s="72" t="n">
        <f aca="false">Z12+Z26+Z40+Z54+Z68+Z82+Z96+Z110+Z124+Z138+Z153+Z167+Z181+Z195</f>
        <v>3341.90898211722</v>
      </c>
      <c r="AA209" s="72" t="n">
        <f aca="false">AA12+AA26+AA40+AA54+AA68+AA82+AA96+AA110+AA124+AA138+AA153+AA167+AA181+AA195</f>
        <v>3471.4550085584</v>
      </c>
      <c r="AB209" s="72" t="n">
        <f aca="false">AB12+AB26+AB40+AB54+AB68+AB82+AB96+AB110+AB124+AB138+AB153+AB167+AB181+AB195</f>
        <v>3755.04341837559</v>
      </c>
    </row>
    <row r="210" customFormat="false" ht="15" hidden="false" customHeight="false" outlineLevel="0" collapsed="false">
      <c r="A210" s="29" t="s">
        <v>977</v>
      </c>
      <c r="B210" s="60" t="s">
        <v>976</v>
      </c>
      <c r="C210" s="61" t="n">
        <f aca="false">SUM(E210:P210)</f>
        <v>8148728.46875185</v>
      </c>
      <c r="D210" s="61" t="n">
        <f aca="false">SUM(Q210:AB210)</f>
        <v>8658717.96230795</v>
      </c>
      <c r="E210" s="71" t="n">
        <f aca="false">E13+E27+E41+E55+E69+E83+E97+E111+E125+E139+E154+E168+E182+E196</f>
        <v>507895.91</v>
      </c>
      <c r="F210" s="71" t="n">
        <f aca="false">F13+F27+F41+F55+F69+F83+F97+F111+F125+F139+F154+F168+F182+F196</f>
        <v>557678.1</v>
      </c>
      <c r="G210" s="71" t="n">
        <f aca="false">G13+G27+G41+G55+G69+G83+G97+G111+G125+G139+G154+G168+G182+G196</f>
        <v>722535.15</v>
      </c>
      <c r="H210" s="71" t="n">
        <f aca="false">H13+H27+H41+H55+H69+H83+H97+H111+H125+H139+H154+H168+H182+H196</f>
        <v>623634.83</v>
      </c>
      <c r="I210" s="71" t="n">
        <f aca="false">I13+I27+I41+I55+I69+I83+I97+I111+I125+I139+I154+I168+I182+I196</f>
        <v>630608.86</v>
      </c>
      <c r="J210" s="71" t="n">
        <f aca="false">J13+J27+J41+J55+J69+J83+J97+J111+J125+J139+J154+J168+J182+J196</f>
        <v>784798.48</v>
      </c>
      <c r="K210" s="71" t="n">
        <f aca="false">K13+K27+K41+K55+K69+K83+K97+K111+K125+K139+K154+K168+K182+K196</f>
        <v>670714.48</v>
      </c>
      <c r="L210" s="71" t="n">
        <f aca="false">L13+L27+L41+L55+L69+L83+L97+L111+L125+L139+L154+L168+L182+L196</f>
        <v>534225.73</v>
      </c>
      <c r="M210" s="71" t="n">
        <f aca="false">M13+M27+M41+M55+M69+M83+M97+M111+M125+M139+M154+M168+M182+M196</f>
        <v>833480.32626765</v>
      </c>
      <c r="N210" s="71" t="n">
        <f aca="false">N13+N27+N41+N55+N69+N83+N97+N111+N125+N139+N154+N168+N182+N196</f>
        <v>737954.149630505</v>
      </c>
      <c r="O210" s="71" t="n">
        <f aca="false">O13+O27+O41+O55+O69+O83+O97+O111+O125+O139+O154+O168+O182+O196</f>
        <v>745996.449740146</v>
      </c>
      <c r="P210" s="71" t="n">
        <f aca="false">P13+P27+P41+P55+P69+P83+P97+P111+P125+P139+P154+P168+P182+P196</f>
        <v>799206.003113547</v>
      </c>
      <c r="Q210" s="71" t="n">
        <f aca="false">Q13+Q27+Q41+Q55+Q69+Q83+Q97+Q111+Q125+Q139+Q154+Q168+Q182+Q196</f>
        <v>739514.117528519</v>
      </c>
      <c r="R210" s="71" t="n">
        <f aca="false">R13+R27+R41+R55+R69+R83+R97+R111+R125+R139+R154+R168+R182+R196</f>
        <v>767306.489730786</v>
      </c>
      <c r="S210" s="71" t="n">
        <f aca="false">S13+S27+S41+S55+S69+S83+S97+S111+S125+S139+S154+S168+S182+S196</f>
        <v>761107.424672483</v>
      </c>
      <c r="T210" s="71" t="n">
        <f aca="false">T13+T27+T41+T55+T69+T83+T97+T111+T125+T139+T154+T168+T182+T196</f>
        <v>760655.070451722</v>
      </c>
      <c r="U210" s="71" t="n">
        <f aca="false">U13+U27+U41+U55+U69+U83+U97+U111+U125+U139+U154+U168+U182+U196</f>
        <v>572404.06579292</v>
      </c>
      <c r="V210" s="71" t="n">
        <f aca="false">V13+V27+V41+V55+V69+V83+V97+V111+V125+V139+V154+V168+V182+V196</f>
        <v>763134.975584563</v>
      </c>
      <c r="W210" s="71" t="n">
        <f aca="false">W13+W27+W41+W55+W69+W83+W97+W111+W125+W139+W154+W168+W182+W196</f>
        <v>725593.796723551</v>
      </c>
      <c r="X210" s="71" t="n">
        <f aca="false">X13+X27+X41+X55+X69+X83+X97+X111+X125+X139+X154+X168+X182+X196</f>
        <v>624070.997856584</v>
      </c>
      <c r="Y210" s="71" t="n">
        <f aca="false">Y13+Y27+Y41+Y55+Y69+Y83+Y97+Y111+Y125+Y139+Y154+Y168+Y182+Y196</f>
        <v>766020.719254727</v>
      </c>
      <c r="Z210" s="71" t="n">
        <f aca="false">Z13+Z27+Z41+Z55+Z69+Z83+Z97+Z111+Z125+Z139+Z154+Z168+Z182+Z196</f>
        <v>688855.939302752</v>
      </c>
      <c r="AA210" s="71" t="n">
        <f aca="false">AA13+AA27+AA41+AA55+AA69+AA83+AA97+AA111+AA125+AA139+AA154+AA168+AA182+AA196</f>
        <v>715723.148821763</v>
      </c>
      <c r="AB210" s="71" t="n">
        <f aca="false">AB13+AB27+AB41+AB55+AB69+AB83+AB97+AB111+AB125+AB139+AB154+AB168+AB182+AB196</f>
        <v>774331.216587582</v>
      </c>
    </row>
    <row r="211" customFormat="false" ht="15" hidden="false" customHeight="false" outlineLevel="0" collapsed="false">
      <c r="A211" s="29" t="s">
        <v>978</v>
      </c>
      <c r="B211" s="60" t="s">
        <v>976</v>
      </c>
      <c r="C211" s="61" t="n">
        <f aca="false">SUM(E211:P211)</f>
        <v>7342030.65821102</v>
      </c>
      <c r="D211" s="61" t="n">
        <f aca="false">SUM(Q211:AB211)</f>
        <v>8069957.04547509</v>
      </c>
      <c r="E211" s="71" t="n">
        <f aca="false">E14+E28+E42+E56+E70+E84+E98+E112+E126+E140+E155+E169+E183+E197</f>
        <v>443372.2</v>
      </c>
      <c r="F211" s="71" t="n">
        <f aca="false">F14+F28+F42+F56+F70+F84+F98+F112+F126+F140+F155+F169+F183+F197</f>
        <v>492739.82</v>
      </c>
      <c r="G211" s="71" t="n">
        <f aca="false">G14+G28+G42+G56+G70+G84+G98+G112+G126+G140+G155+G169+G183+G197</f>
        <v>526521.74</v>
      </c>
      <c r="H211" s="71" t="n">
        <f aca="false">H14+H28+H42+H56+H70+H84+H98+H112+H126+H140+H155+H169+H183+H197</f>
        <v>670780.72</v>
      </c>
      <c r="I211" s="71" t="n">
        <f aca="false">I14+I28+I42+I56+I70+I84+I98+I112+I126+I140+I155+I169+I183+I197</f>
        <v>538067.52</v>
      </c>
      <c r="J211" s="71" t="n">
        <f aca="false">J14+J28+J42+J56+J70+J84+J98+J112+J126+J140+J155+J169+J183+J197</f>
        <v>696500.51</v>
      </c>
      <c r="K211" s="71" t="n">
        <f aca="false">K14+K28+K42+K56+K70+K84+K98+K112+K126+K140+K155+K169+K183+K197</f>
        <v>707543.6</v>
      </c>
      <c r="L211" s="71" t="n">
        <f aca="false">L14+L28+L42+L56+L70+L84+L98+L112+L126+L140+L155+L169+L183+L197</f>
        <v>628336.11</v>
      </c>
      <c r="M211" s="71" t="n">
        <f aca="false">M14+M28+M42+M56+M70+M84+M98+M112+M126+M140+M155+M169+M183+M197</f>
        <v>544838.3186</v>
      </c>
      <c r="N211" s="71" t="n">
        <f aca="false">N14+N28+N42+N56+N70+N84+N98+N112+N126+N140+N155+N169+N183+N197</f>
        <v>704419.253277051</v>
      </c>
      <c r="O211" s="71" t="n">
        <f aca="false">O14+O28+O42+O56+O70+O84+O98+O112+O126+O140+O155+O169+O183+O197</f>
        <v>660337.45750606</v>
      </c>
      <c r="P211" s="71" t="n">
        <f aca="false">P14+P28+P42+P56+P70+P84+P98+P112+P126+P140+P155+P169+P183+P197</f>
        <v>728573.408827909</v>
      </c>
      <c r="Q211" s="71" t="n">
        <f aca="false">Q14+Q28+Q42+Q56+Q70+Q84+Q98+Q112+Q126+Q140+Q155+Q169+Q183+Q197</f>
        <v>729939.357472565</v>
      </c>
      <c r="R211" s="71" t="n">
        <f aca="false">R14+R28+R42+R56+R70+R84+R98+R112+R126+R140+R155+R169+R183+R197</f>
        <v>732263.313335454</v>
      </c>
      <c r="S211" s="71" t="n">
        <f aca="false">S14+S28+S42+S56+S70+S84+S98+S112+S126+S140+S155+S169+S183+S197</f>
        <v>681214.77050376</v>
      </c>
      <c r="T211" s="71" t="n">
        <f aca="false">T14+T28+T42+T56+T70+T84+T98+T112+T126+T140+T155+T169+T183+T197</f>
        <v>695090.635590434</v>
      </c>
      <c r="U211" s="71" t="n">
        <f aca="false">U14+U28+U42+U56+U70+U84+U98+U112+U126+U140+U155+U169+U183+U197</f>
        <v>732960.276519074</v>
      </c>
      <c r="V211" s="71" t="n">
        <f aca="false">V14+V28+V42+V56+V70+V84+V98+V112+V126+V140+V155+V169+V183+V197</f>
        <v>530389.332479381</v>
      </c>
      <c r="W211" s="71" t="n">
        <f aca="false">W14+W28+W42+W56+W70+W84+W98+W112+W126+W140+W155+W169+W183+W197</f>
        <v>717657.791780502</v>
      </c>
      <c r="X211" s="71" t="n">
        <f aca="false">X14+X28+X42+X56+X70+X84+X98+X112+X126+X140+X155+X169+X183+X197</f>
        <v>665543.502505063</v>
      </c>
      <c r="Y211" s="71" t="n">
        <f aca="false">Y14+Y28+Y42+Y56+Y70+Y84+Y98+Y112+Y126+Y140+Y155+Y169+Y183+Y197</f>
        <v>588493.132743827</v>
      </c>
      <c r="Z211" s="71" t="n">
        <f aca="false">Z14+Z28+Z42+Z56+Z70+Z84+Z98+Z112+Z126+Z140+Z155+Z169+Z183+Z197</f>
        <v>687111.3386334</v>
      </c>
      <c r="AA211" s="71" t="n">
        <f aca="false">AA14+AA28+AA42+AA56+AA70+AA84+AA98+AA112+AA126+AA140+AA155+AA169+AA183+AA197</f>
        <v>637835.323625286</v>
      </c>
      <c r="AB211" s="71" t="n">
        <f aca="false">AB14+AB28+AB42+AB56+AB70+AB84+AB98+AB112+AB126+AB140+AB155+AB169+AB183+AB197</f>
        <v>671458.270286347</v>
      </c>
    </row>
    <row r="212" customFormat="false" ht="15" hidden="false" customHeight="false" outlineLevel="0" collapsed="false">
      <c r="A212" s="29" t="s">
        <v>979</v>
      </c>
      <c r="B212" s="60" t="s">
        <v>976</v>
      </c>
      <c r="C212" s="61" t="n">
        <f aca="false">SUM(E212:P212)</f>
        <v>1249108.51923921</v>
      </c>
      <c r="D212" s="61" t="n">
        <f aca="false">SUM(Q212:AB212)</f>
        <v>1438301.69225335</v>
      </c>
      <c r="E212" s="71" t="n">
        <f aca="false">E15+E29+E43+E57+E71+E85+E99+E113+E127+E141+E156+E170+E184+E198</f>
        <v>84240.718</v>
      </c>
      <c r="F212" s="71" t="n">
        <f aca="false">F15+F29+F43+F57+F71+F85+F99+F113+F127+F141+F156+F170+F184+F198</f>
        <v>93620.5658</v>
      </c>
      <c r="G212" s="71" t="n">
        <f aca="false">G15+G29+G43+G57+G71+G85+G99+G113+G127+G141+G156+G170+G184+G198</f>
        <v>88271.0645</v>
      </c>
      <c r="H212" s="71" t="n">
        <f aca="false">H15+H29+H43+H57+H71+H85+H99+H113+H127+H141+H156+H170+H184+H198</f>
        <v>114219.1555</v>
      </c>
      <c r="I212" s="71" t="n">
        <f aca="false">I15+I29+I43+I57+I71+I85+I99+I113+I127+I141+I156+I170+I184+I198</f>
        <v>90766.1046</v>
      </c>
      <c r="J212" s="71" t="n">
        <f aca="false">J15+J29+J43+J57+J71+J85+J99+J113+J127+J141+J156+J170+J184+J198</f>
        <v>111968.0336</v>
      </c>
      <c r="K212" s="71" t="n">
        <f aca="false">K15+K29+K43+K57+K71+K85+K99+K113+K127+K141+K156+K170+K184+K198</f>
        <v>121548.1946</v>
      </c>
      <c r="L212" s="71" t="n">
        <f aca="false">L15+L29+L43+L57+L71+L85+L99+L113+L127+L141+L156+L170+L184+L198</f>
        <v>104817.2677</v>
      </c>
      <c r="M212" s="71" t="n">
        <f aca="false">M15+M29+M43+M57+M71+M85+M99+M113+M127+M141+M156+M170+M184+M198</f>
        <v>78693.869134</v>
      </c>
      <c r="N212" s="71" t="n">
        <f aca="false">N15+N29+N43+N57+N71+N85+N99+N113+N127+N141+N156+N170+N184+N198</f>
        <v>120337.650677601</v>
      </c>
      <c r="O212" s="71" t="n">
        <f aca="false">O15+O29+O43+O57+O71+O85+O99+O113+O127+O141+O156+O170+O184+O198</f>
        <v>102196.947450302</v>
      </c>
      <c r="P212" s="71" t="n">
        <f aca="false">P15+P29+P43+P57+P71+P85+P99+P113+P127+P141+P156+P170+P184+P198</f>
        <v>138428.947677303</v>
      </c>
      <c r="Q212" s="71" t="n">
        <f aca="false">Q15+Q29+Q43+Q57+Q71+Q85+Q99+Q113+Q127+Q141+Q156+Q170+Q184+Q198</f>
        <v>131004.20445159</v>
      </c>
      <c r="R212" s="71" t="n">
        <f aca="false">R15+R29+R43+R57+R71+R85+R99+R113+R127+R141+R156+R170+R184+R198</f>
        <v>125394.759026004</v>
      </c>
      <c r="S212" s="71" t="n">
        <f aca="false">S15+S29+S43+S57+S71+S85+S99+S113+S127+S141+S156+S170+S184+S198</f>
        <v>115266.308684616</v>
      </c>
      <c r="T212" s="71" t="n">
        <f aca="false">T15+T29+T43+T57+T71+T85+T99+T113+T127+T141+T156+T170+T184+T198</f>
        <v>116872.577763004</v>
      </c>
      <c r="U212" s="71" t="n">
        <f aca="false">U15+U29+U43+U57+U71+U85+U99+U113+U127+U141+U156+U170+U184+U198</f>
        <v>123381.046014059</v>
      </c>
      <c r="V212" s="71" t="n">
        <f aca="false">V15+V29+V43+V57+V71+V85+V99+V113+V127+V141+V156+V170+V184+V198</f>
        <v>88669.7660361437</v>
      </c>
      <c r="W212" s="71" t="n">
        <f aca="false">W15+W29+W43+W57+W71+W85+W99+W113+W127+W141+W156+W170+W184+W198</f>
        <v>128112.594864172</v>
      </c>
      <c r="X212" s="71" t="n">
        <f aca="false">X15+X29+X43+X57+X71+X85+X99+X113+X127+X141+X156+X170+X184+X198</f>
        <v>118469.803008879</v>
      </c>
      <c r="Y212" s="71" t="n">
        <f aca="false">Y15+Y29+Y43+Y57+Y71+Y85+Y99+Y113+Y127+Y141+Y156+Y170+Y184+Y198</f>
        <v>111813.695221327</v>
      </c>
      <c r="Z212" s="71" t="n">
        <f aca="false">Z15+Z29+Z43+Z57+Z71+Z85+Z99+Z113+Z127+Z141+Z156+Z170+Z184+Z198</f>
        <v>130551.154340346</v>
      </c>
      <c r="AA212" s="71" t="n">
        <f aca="false">AA15+AA29+AA43+AA57+AA71+AA85+AA99+AA113+AA127+AA141+AA156+AA170+AA184+AA198</f>
        <v>121188.711488804</v>
      </c>
      <c r="AB212" s="71" t="n">
        <f aca="false">AB15+AB29+AB43+AB57+AB71+AB85+AB99+AB113+AB127+AB141+AB156+AB170+AB184+AB198</f>
        <v>127577.071354406</v>
      </c>
    </row>
    <row r="213" customFormat="false" ht="15" hidden="false" customHeight="false" outlineLevel="0" collapsed="false">
      <c r="A213" s="29" t="s">
        <v>719</v>
      </c>
      <c r="B213" s="60" t="s">
        <v>976</v>
      </c>
      <c r="C213" s="61" t="n">
        <f aca="false">SUM(E213:P213)</f>
        <v>8591139.17745023</v>
      </c>
      <c r="D213" s="61" t="n">
        <f aca="false">SUM(Q213:AB213)</f>
        <v>9508258.73772844</v>
      </c>
      <c r="E213" s="71" t="n">
        <f aca="false">E16+E30+E44+E58+E72+E86+E100+E114+E128+E142+E157+E171+E185+E199</f>
        <v>527612.918</v>
      </c>
      <c r="F213" s="71" t="n">
        <f aca="false">F16+F30+F44+F58+F72+F86+F100+F114+F128+F142+F157+F171+F185+F199</f>
        <v>586360.3858</v>
      </c>
      <c r="G213" s="71" t="n">
        <f aca="false">G16+G30+G44+G58+G72+G86+G100+G114+G128+G142+G157+G171+G185+G199</f>
        <v>614792.8045</v>
      </c>
      <c r="H213" s="71" t="n">
        <f aca="false">H16+H30+H44+H58+H72+H86+H100+H114+H128+H142+H157+H171+H185+H199</f>
        <v>784999.8755</v>
      </c>
      <c r="I213" s="71" t="n">
        <f aca="false">I16+I30+I44+I58+I72+I86+I100+I114+I128+I142+I157+I171+I185+I199</f>
        <v>628833.6246</v>
      </c>
      <c r="J213" s="71" t="n">
        <f aca="false">J16+J30+J44+J58+J72+J86+J100+J114+J128+J142+J157+J171+J185+J199</f>
        <v>808468.5436</v>
      </c>
      <c r="K213" s="71" t="n">
        <f aca="false">K16+K30+K44+K58+K72+K86+K100+K114+K128+K142+K157+K171+K185+K199</f>
        <v>829091.7946</v>
      </c>
      <c r="L213" s="71" t="n">
        <f aca="false">L16+L30+L44+L58+L72+L86+L100+L114+L128+L142+L157+L171+L185+L199</f>
        <v>733153.3777</v>
      </c>
      <c r="M213" s="71" t="n">
        <f aca="false">M16+M30+M44+M58+M72+M86+M100+M114+M128+M142+M157+M171+M185+M199</f>
        <v>623532.187734</v>
      </c>
      <c r="N213" s="71" t="n">
        <f aca="false">N16+N30+N44+N58+N72+N86+N100+N114+N128+N142+N157+N171+N185+N199</f>
        <v>824756.903954652</v>
      </c>
      <c r="O213" s="71" t="n">
        <f aca="false">O16+O30+O44+O58+O72+O86+O100+O114+O128+O142+O157+O171+O185+O199</f>
        <v>762534.404956362</v>
      </c>
      <c r="P213" s="71" t="n">
        <f aca="false">P16+P30+P44+P58+P72+P86+P100+P114+P128+P142+P157+P171+P185+P199</f>
        <v>867002.356505211</v>
      </c>
      <c r="Q213" s="71" t="n">
        <f aca="false">Q16+Q30+Q44+Q58+Q72+Q86+Q100+Q114+Q128+Q142+Q157+Q171+Q185+Q199</f>
        <v>860943.561924155</v>
      </c>
      <c r="R213" s="71" t="n">
        <f aca="false">R16+R30+R44+R58+R72+R86+R100+R114+R128+R142+R157+R171+R185+R199</f>
        <v>857658.072361458</v>
      </c>
      <c r="S213" s="71" t="n">
        <f aca="false">S16+S30+S44+S58+S72+S86+S100+S114+S128+S142+S157+S171+S185+S199</f>
        <v>796481.079188376</v>
      </c>
      <c r="T213" s="71" t="n">
        <f aca="false">T16+T30+T44+T58+T72+T86+T100+T114+T128+T142+T157+T171+T185+T199</f>
        <v>811963.213353438</v>
      </c>
      <c r="U213" s="71" t="n">
        <f aca="false">U16+U30+U44+U58+U72+U86+U100+U114+U128+U142+U157+U171+U185+U199</f>
        <v>856341.322533133</v>
      </c>
      <c r="V213" s="71" t="n">
        <f aca="false">V16+V30+V44+V58+V72+V86+V100+V114+V128+V142+V157+V171+V185+V199</f>
        <v>619059.098515524</v>
      </c>
      <c r="W213" s="71" t="n">
        <f aca="false">W16+W30+W44+W58+W72+W86+W100+W114+W128+W142+W157+W171+W185+W199</f>
        <v>845770.386644674</v>
      </c>
      <c r="X213" s="71" t="n">
        <f aca="false">X16+X30+X44+X58+X72+X86+X100+X114+X128+X142+X157+X171+X185+X199</f>
        <v>784013.305513942</v>
      </c>
      <c r="Y213" s="71" t="n">
        <f aca="false">Y16+Y30+Y44+Y58+Y72+Y86+Y100+Y114+Y128+Y142+Y157+Y171+Y185+Y199</f>
        <v>700306.827965154</v>
      </c>
      <c r="Z213" s="71" t="n">
        <f aca="false">Z16+Z30+Z44+Z58+Z72+Z86+Z100+Z114+Z128+Z142+Z157+Z171+Z185+Z199</f>
        <v>817662.492973746</v>
      </c>
      <c r="AA213" s="71" t="n">
        <f aca="false">AA16+AA30+AA44+AA58+AA72+AA86+AA100+AA114+AA128+AA142+AA157+AA171+AA185+AA199</f>
        <v>759024.03511409</v>
      </c>
      <c r="AB213" s="71" t="n">
        <f aca="false">AB16+AB30+AB44+AB58+AB72+AB86+AB100+AB114+AB128+AB142+AB157+AB171+AB185+AB199</f>
        <v>799035.341640753</v>
      </c>
    </row>
    <row r="214" customFormat="false" ht="15" hidden="false" customHeight="false" outlineLevel="0" collapsed="false">
      <c r="A214" s="29" t="s">
        <v>952</v>
      </c>
      <c r="B214" s="60" t="s">
        <v>976</v>
      </c>
      <c r="C214" s="61" t="n">
        <f aca="false">SUM(E214:P214)</f>
        <v>8319774.8840356</v>
      </c>
      <c r="D214" s="61" t="n">
        <f aca="false">SUM(Q214:AB214)</f>
        <v>9628651.15145314</v>
      </c>
      <c r="E214" s="71" t="n">
        <f aca="false">E17+E31+E45+E59+E73+E87+E101+E115+E129+E144+E158+E172+E186+E200</f>
        <v>736213.53</v>
      </c>
      <c r="F214" s="71" t="n">
        <f aca="false">F17+F31+F45+F59+F73+F87+F101+F115+F129+F144+F158+F172+F186+F200</f>
        <v>605889.31</v>
      </c>
      <c r="G214" s="71" t="n">
        <f aca="false">G17+G31+G45+G59+G73+G87+G101+G115+G129+G144+G158+G172+G186+G200</f>
        <v>557961.02</v>
      </c>
      <c r="H214" s="71" t="n">
        <f aca="false">H17+H31+H45+H59+H73+H87+H101+H115+H129+H144+H158+H172+H186+H200</f>
        <v>624076.13</v>
      </c>
      <c r="I214" s="71" t="n">
        <f aca="false">I17+I31+I45+I59+I73+I87+I101+I115+I129+I144+I158+I172+I186+I200</f>
        <v>704791.3</v>
      </c>
      <c r="J214" s="71" t="n">
        <f aca="false">J17+J31+J45+J59+J73+J87+J101+J115+J129+J144+J158+J172+J186+J200</f>
        <v>641897.65</v>
      </c>
      <c r="K214" s="71" t="n">
        <f aca="false">K17+K31+K45+K59+K73+K87+K101+K115+K129+K144+K158+K172+K186+K200</f>
        <v>739124.49</v>
      </c>
      <c r="L214" s="71" t="n">
        <f aca="false">L17+L31+L45+L59+L73+L87+L101+L115+L129+L144+L158+L172+L186+L200</f>
        <v>739191.48</v>
      </c>
      <c r="M214" s="71" t="n">
        <f aca="false">M17+M31+M45+M59+M73+M87+M101+M115+M129+M144+M158+M172+M186+M200</f>
        <v>681621.4689</v>
      </c>
      <c r="N214" s="71" t="n">
        <f aca="false">N17+N31+N45+N59+N73+N87+N101+N115+N129+N144+N158+N172+N186+N200</f>
        <v>676773.768889</v>
      </c>
      <c r="O214" s="71" t="n">
        <f aca="false">O17+O31+O45+O59+O73+O87+O101+O115+O129+O144+O158+O172+O186+O200</f>
        <v>792984.905711647</v>
      </c>
      <c r="P214" s="71" t="n">
        <f aca="false">P17+P31+P45+P59+P73+P87+P101+P115+P129+P144+P158+P172+P186+P200</f>
        <v>819249.830534956</v>
      </c>
      <c r="Q214" s="71" t="n">
        <f aca="false">Q17+Q31+Q45+Q59+Q73+Q87+Q101+Q115+Q129+Q144+Q158+Q172+Q186+Q200</f>
        <v>864476.553919096</v>
      </c>
      <c r="R214" s="71" t="n">
        <f aca="false">R17+R31+R45+R59+R73+R87+R101+R115+R129+R144+R158+R172+R186+R200</f>
        <v>855459.099340871</v>
      </c>
      <c r="S214" s="71" t="n">
        <f aca="false">S17+S31+S45+S59+S73+S87+S101+S115+S129+S144+S158+S172+S186+S200</f>
        <v>837168.057648736</v>
      </c>
      <c r="T214" s="71" t="n">
        <f aca="false">T17+T31+T45+T59+T73+T87+T101+T115+T129+T144+T158+T172+T186+T200</f>
        <v>809728.951093721</v>
      </c>
      <c r="U214" s="71" t="n">
        <f aca="false">U17+U31+U45+U59+U73+U87+U101+U115+U129+U144+U158+U172+U186+U200</f>
        <v>794679.1320429</v>
      </c>
      <c r="V214" s="71" t="n">
        <f aca="false">V17+V31+V45+V59+V73+V87+V101+V115+V129+V144+V158+V172+V186+V200</f>
        <v>868840.242065879</v>
      </c>
      <c r="W214" s="71" t="n">
        <f aca="false">W17+W31+W45+W59+W73+W87+W101+W115+W129+W144+W158+W172+W186+W200</f>
        <v>690920.581795302</v>
      </c>
      <c r="X214" s="71" t="n">
        <f aca="false">X17+X31+X45+X59+X73+X87+X101+X115+X129+X144+X158+X172+X186+X200</f>
        <v>757831.458005854</v>
      </c>
      <c r="Y214" s="71" t="n">
        <f aca="false">Y17+Y31+Y45+Y59+Y73+Y87+Y101+Y115+Y129+Y144+Y158+Y172+Y186+Y200</f>
        <v>829505.736996976</v>
      </c>
      <c r="Z214" s="71" t="n">
        <f aca="false">Z17+Z31+Z45+Z59+Z73+Z87+Z101+Z115+Z129+Z144+Z158+Z172+Z186+Z200</f>
        <v>717508.91956862</v>
      </c>
      <c r="AA214" s="71" t="n">
        <f aca="false">AA17+AA31+AA45+AA59+AA73+AA87+AA101+AA115+AA129+AA144+AA158+AA172+AA186+AA200</f>
        <v>820579.51158198</v>
      </c>
      <c r="AB214" s="71" t="n">
        <f aca="false">AB17+AB31+AB45+AB59+AB73+AB87+AB101+AB115+AB129+AB144+AB158+AB172+AB186+AB200</f>
        <v>781952.907393209</v>
      </c>
    </row>
    <row r="215" customFormat="false" ht="15" hidden="false" customHeight="false" outlineLevel="0" collapsed="false">
      <c r="A215" s="29" t="s">
        <v>62</v>
      </c>
      <c r="B215" s="60" t="s">
        <v>976</v>
      </c>
      <c r="C215" s="61" t="n">
        <f aca="false">P215</f>
        <v>1205560.30341462</v>
      </c>
      <c r="D215" s="61" t="n">
        <f aca="false">AB215</f>
        <v>1085167.88968992</v>
      </c>
      <c r="E215" s="71" t="n">
        <f aca="false">E18+E32+E46+E60+E74+E88+E102+E116+E130+E145+E159+E173+E187+E201</f>
        <v>748972.328</v>
      </c>
      <c r="F215" s="71" t="n">
        <f aca="false">F18+F32+F46+F60+F74+F88+F102+F116+F130+F145+F159+F173+F187+F201</f>
        <v>729443.4038</v>
      </c>
      <c r="G215" s="71" t="n">
        <f aca="false">G18+G32+G46+G60+G74+G88+G102+G116+G130+G145+G159+G173+G187+G201</f>
        <v>786275.1883</v>
      </c>
      <c r="H215" s="71" t="n">
        <f aca="false">H18+H32+H46+H60+H74+H88+H102+H116+H130+H145+H159+H173+H187+H201</f>
        <v>947198.9338</v>
      </c>
      <c r="I215" s="71" t="n">
        <f aca="false">I18+I32+I46+I60+I74+I88+I102+I116+I130+I145+I159+I173+I187+I201</f>
        <v>871241.2584</v>
      </c>
      <c r="J215" s="71" t="n">
        <f aca="false">J18+J32+J46+J60+J74+J88+J102+J116+J130+J145+J159+J173+J187+J201</f>
        <v>1037812.152</v>
      </c>
      <c r="K215" s="71" t="n">
        <f aca="false">K18+K32+K46+K60+K74+K88+K102+K116+K130+K145+K159+K173+K187+K201</f>
        <v>1104402.5266</v>
      </c>
      <c r="L215" s="71" t="n">
        <f aca="false">L18+L32+L46+L60+L74+L88+L102+L116+L130+L145+L159+L173+L187+L201</f>
        <v>1098364.4243</v>
      </c>
      <c r="M215" s="71" t="n">
        <f aca="false">M18+M32+M46+M60+M74+M88+M102+M116+M130+M145+M159+M173+M187+M201</f>
        <v>1040275.143134</v>
      </c>
      <c r="N215" s="71" t="n">
        <f aca="false">N18+N32+N46+N60+N74+N88+N102+N116+N130+N145+N159+N173+N187+N201</f>
        <v>1188258.27819965</v>
      </c>
      <c r="O215" s="71" t="n">
        <f aca="false">O18+O32+O46+O60+O74+O88+O102+O116+O130+O145+O159+O173+O187+O201</f>
        <v>1157807.77744437</v>
      </c>
      <c r="P215" s="71" t="n">
        <f aca="false">P18+P32+P46+P60+P74+P88+P102+P116+P130+P145+P159+P173+P187+P201</f>
        <v>1205560.30341462</v>
      </c>
      <c r="Q215" s="71" t="n">
        <f aca="false">Q18+Q32+Q46+Q60+Q74+Q88+Q102+Q116+Q130+Q145+Q159+Q173+Q187+Q201</f>
        <v>1202027.31141968</v>
      </c>
      <c r="R215" s="71" t="n">
        <f aca="false">R18+R32+R46+R60+R74+R88+R102+R116+R130+R145+R159+R173+R187+R201</f>
        <v>1204226.28444027</v>
      </c>
      <c r="S215" s="71" t="n">
        <f aca="false">S18+S32+S46+S60+S74+S88+S102+S116+S130+S145+S159+S173+S187+S201</f>
        <v>1163539.30597991</v>
      </c>
      <c r="T215" s="71" t="n">
        <f aca="false">T18+T32+T46+T60+T74+T88+T102+T116+T130+T145+T159+T173+T187+T201</f>
        <v>1165773.56823963</v>
      </c>
      <c r="U215" s="71" t="n">
        <f aca="false">U18+U32+U46+U60+U74+U88+U102+U116+U130+U145+U159+U173+U187+U201</f>
        <v>1227435.75872986</v>
      </c>
      <c r="V215" s="71" t="n">
        <f aca="false">V18+V32+V46+V60+V74+V88+V102+V116+V130+V145+V159+V173+V187+V201</f>
        <v>977654.615179505</v>
      </c>
      <c r="W215" s="71" t="n">
        <f aca="false">W18+W32+W46+W60+W74+W88+W102+W116+W130+W145+W159+W173+W187+W201</f>
        <v>1132504.42002888</v>
      </c>
      <c r="X215" s="71" t="n">
        <f aca="false">X18+X32+X46+X60+X74+X88+X102+X116+X130+X145+X159+X173+X187+X201</f>
        <v>1158686.26753696</v>
      </c>
      <c r="Y215" s="71" t="n">
        <f aca="false">Y18+Y32+Y46+Y60+Y74+Y88+Y102+Y116+Y130+Y145+Y159+Y173+Y187+Y201</f>
        <v>1029487.35850514</v>
      </c>
      <c r="Z215" s="71" t="n">
        <f aca="false">Z18+Z32+Z46+Z60+Z74+Z88+Z102+Z116+Z130+Z145+Z159+Z173+Z187+Z201</f>
        <v>1129640.93191027</v>
      </c>
      <c r="AA215" s="71" t="n">
        <f aca="false">AA18+AA32+AA46+AA60+AA74+AA88+AA102+AA116+AA130+AA145+AA159+AA173+AA187+AA201</f>
        <v>1068085.45544238</v>
      </c>
      <c r="AB215" s="71" t="n">
        <f aca="false">AB18+AB32+AB46+AB60+AB74+AB88+AB102+AB116+AB130+AB145+AB159+AB173+AB187+AB201</f>
        <v>1085167.88968992</v>
      </c>
    </row>
    <row r="216" customFormat="false" ht="15" hidden="false" customHeight="false" outlineLevel="0" collapsed="false">
      <c r="A216" s="29" t="s">
        <v>980</v>
      </c>
      <c r="B216" s="60" t="s">
        <v>976</v>
      </c>
      <c r="C216" s="61" t="n">
        <f aca="false">P216</f>
        <v>657473.444208632</v>
      </c>
      <c r="D216" s="61" t="n">
        <f aca="false">AB216</f>
        <v>726433.972420348</v>
      </c>
      <c r="E216" s="71" t="n">
        <f aca="false">E20+E34+E48+E62+E76+E90+E104+E118+E132+E147+E161+E175+E189+E203</f>
        <v>371930.71</v>
      </c>
      <c r="F216" s="71" t="n">
        <f aca="false">F20+F34+F48+F62+F76+F90+F104+F118+F132+F147+F161+F175+F189+F203</f>
        <v>404531.3</v>
      </c>
      <c r="G216" s="71" t="n">
        <f aca="false">G20+G34+G48+G62+G76+G90+G104+G118+G132+G147+G161+G175+G189+G203</f>
        <v>537088.37</v>
      </c>
      <c r="H216" s="71" t="n">
        <f aca="false">H20+H34+H48+H62+H76+H90+H104+H118+H132+H147+H161+H175+H189+H203</f>
        <v>434964.09</v>
      </c>
      <c r="I216" s="71" t="n">
        <f aca="false">I20+I34+I48+I62+I76+I90+I104+I118+I132+I147+I161+I175+I189+I203</f>
        <v>486284.25</v>
      </c>
      <c r="J216" s="71" t="n">
        <f aca="false">J20+J34+J48+J62+J76+J90+J104+J118+J132+J147+J161+J175+J189+J203</f>
        <v>534292.28</v>
      </c>
      <c r="K216" s="71" t="n">
        <f aca="false">K20+K34+K48+K62+K76+K90+K104+K118+K132+K147+K161+K175+K189+K203</f>
        <v>453647.72</v>
      </c>
      <c r="L216" s="71" t="n">
        <f aca="false">L20+L34+L48+L62+L76+L90+L104+L118+L132+L147+L161+L175+L189+L203</f>
        <v>336213.23</v>
      </c>
      <c r="M216" s="71" t="n">
        <f aca="false">M20+M34+M48+M62+M76+M90+M104+M118+M132+M147+M161+M175+M189+M203</f>
        <v>570585.139103403</v>
      </c>
      <c r="N216" s="71" t="n">
        <f aca="false">N20+N34+N48+N62+N76+N90+N104+N118+N132+N147+N161+N175+N189+N203</f>
        <v>573683.753620215</v>
      </c>
      <c r="O216" s="71" t="n">
        <f aca="false">O20+O34+O48+O62+O76+O90+O104+O118+O132+O147+O161+O175+O189+O203</f>
        <v>622707.532704328</v>
      </c>
      <c r="P216" s="71" t="n">
        <f aca="false">P20+P34+P48+P62+P76+P90+P104+P118+P132+P147+P161+P175+P189+P203</f>
        <v>657473.444208632</v>
      </c>
      <c r="Q216" s="71" t="n">
        <f aca="false">Q20+Q34+Q48+Q62+Q76+Q90+Q104+Q118+Q132+Q147+Q161+Q175+Q189+Q203</f>
        <v>625823.359164527</v>
      </c>
      <c r="R216" s="71" t="n">
        <f aca="false">R20+R34+R48+R62+R76+R90+R104+R118+R132+R147+R161+R175+R189+R203</f>
        <v>617930.104238395</v>
      </c>
      <c r="S216" s="71" t="n">
        <f aca="false">S20+S34+S48+S62+S76+S90+S104+S118+S132+S147+S161+S175+S189+S203</f>
        <v>654730.791290094</v>
      </c>
      <c r="T216" s="71" t="n">
        <f aca="false">T20+T34+T48+T62+T76+T90+T104+T118+T132+T147+T161+T175+T189+T203</f>
        <v>676810.796357031</v>
      </c>
      <c r="U216" s="71" t="n">
        <f aca="false">U20+U34+U48+U62+U76+U90+U104+U118+U132+U147+U161+U175+U189+U203</f>
        <v>483243.697417338</v>
      </c>
      <c r="V216" s="71" t="n">
        <f aca="false">V20+V34+V48+V62+V76+V90+V104+V118+V132+V147+V161+V175+V189+V203</f>
        <v>668856.357557407</v>
      </c>
      <c r="W216" s="71" t="n">
        <f aca="false">W20+W34+W48+W62+W76+W90+W104+W118+W132+W147+W161+W175+W189+W203</f>
        <v>631979.139947311</v>
      </c>
      <c r="X216" s="71" t="n">
        <f aca="false">X20+X34+X48+X62+X76+X90+X104+X118+X132+X147+X161+X175+X189+X203</f>
        <v>550116.330798151</v>
      </c>
      <c r="Y216" s="71" t="n">
        <f aca="false">Y20+Y34+Y48+Y62+Y76+Y90+Y104+Y118+Y132+Y147+Y161+Y175+Y189+Y203</f>
        <v>678763.449636529</v>
      </c>
      <c r="Z216" s="71" t="n">
        <f aca="false">Z20+Z34+Z48+Z62+Z76+Z90+Z104+Z118+Z132+Z147+Z161+Z175+Z189+Z203</f>
        <v>637835.323625286</v>
      </c>
      <c r="AA216" s="71" t="n">
        <f aca="false">AA20+AA34+AA48+AA62+AA76+AA90+AA104+AA118+AA132+AA147+AA161+AA175+AA189+AA203</f>
        <v>671458.270286347</v>
      </c>
      <c r="AB216" s="71" t="n">
        <f aca="false">AB20+AB34+AB48+AB62+AB76+AB90+AB104+AB118+AB132+AB147+AB161+AB175+AB189+AB203</f>
        <v>726433.972420348</v>
      </c>
    </row>
    <row r="217" customFormat="false" ht="15" hidden="false" customHeight="false" outlineLevel="0" collapsed="false">
      <c r="A217" s="29" t="s">
        <v>981</v>
      </c>
      <c r="B217" s="60"/>
      <c r="C217" s="61" t="n">
        <f aca="false">SUM(E217:P217)</f>
        <v>23376.93</v>
      </c>
      <c r="D217" s="61" t="n">
        <f aca="false">SUM(Q217:AB217)</f>
        <v>0</v>
      </c>
      <c r="E217" s="71" t="n">
        <f aca="false">E143</f>
        <v>0</v>
      </c>
      <c r="F217" s="71" t="n">
        <f aca="false">F143</f>
        <v>0</v>
      </c>
      <c r="G217" s="71" t="n">
        <f aca="false">G143</f>
        <v>0</v>
      </c>
      <c r="H217" s="71" t="n">
        <f aca="false">H143</f>
        <v>0</v>
      </c>
      <c r="I217" s="71" t="n">
        <f aca="false">I143</f>
        <v>0</v>
      </c>
      <c r="J217" s="71" t="n">
        <f aca="false">J143</f>
        <v>0</v>
      </c>
      <c r="K217" s="71" t="n">
        <f aca="false">K143</f>
        <v>23376.93</v>
      </c>
      <c r="L217" s="71" t="n">
        <f aca="false">L143</f>
        <v>0</v>
      </c>
      <c r="M217" s="71" t="n">
        <f aca="false">M143</f>
        <v>0</v>
      </c>
      <c r="N217" s="71" t="n">
        <f aca="false">N143</f>
        <v>0</v>
      </c>
      <c r="O217" s="71" t="n">
        <f aca="false">O143</f>
        <v>0</v>
      </c>
      <c r="P217" s="71" t="n">
        <f aca="false">P143</f>
        <v>0</v>
      </c>
      <c r="Q217" s="71" t="n">
        <f aca="false">Q143</f>
        <v>0</v>
      </c>
      <c r="R217" s="71" t="n">
        <f aca="false">R143</f>
        <v>0</v>
      </c>
      <c r="S217" s="71" t="n">
        <f aca="false">S143</f>
        <v>0</v>
      </c>
      <c r="T217" s="71" t="n">
        <f aca="false">T143</f>
        <v>0</v>
      </c>
      <c r="U217" s="71" t="n">
        <f aca="false">U143</f>
        <v>0</v>
      </c>
      <c r="V217" s="71" t="n">
        <f aca="false">V143</f>
        <v>0</v>
      </c>
      <c r="W217" s="71" t="n">
        <f aca="false">W143</f>
        <v>0</v>
      </c>
      <c r="X217" s="71" t="n">
        <f aca="false">X143</f>
        <v>0</v>
      </c>
      <c r="Y217" s="71" t="n">
        <f aca="false">Y143</f>
        <v>0</v>
      </c>
      <c r="Z217" s="71" t="n">
        <f aca="false">Z143</f>
        <v>0</v>
      </c>
      <c r="AA217" s="71" t="n">
        <f aca="false">AA143</f>
        <v>0</v>
      </c>
      <c r="AB217" s="71" t="n">
        <f aca="false">AB143</f>
        <v>0</v>
      </c>
    </row>
    <row r="218" customFormat="false" ht="15" hidden="false" customHeight="false" outlineLevel="0" collapsed="false">
      <c r="A218" s="29" t="s">
        <v>982</v>
      </c>
      <c r="B218" s="60"/>
      <c r="C218" s="61" t="n">
        <f aca="false">P218</f>
        <v>1082523.84221462</v>
      </c>
      <c r="D218" s="61" t="n">
        <f aca="false">AB218</f>
        <v>962131.428489923</v>
      </c>
      <c r="E218" s="71" t="n">
        <f aca="false">E18+E32+E46+E60+E74+E88+E102+E116+E130+E187+E201</f>
        <v>712895.5215</v>
      </c>
      <c r="F218" s="71" t="n">
        <f aca="false">F18+F32+F46+F60+F74+F88+F102+F116+F130+F187+F201</f>
        <v>670346.0815</v>
      </c>
      <c r="G218" s="71" t="n">
        <f aca="false">G18+G32+G46+G60+G74+G88+G102+G116+G130+G187+G201</f>
        <v>665780.1664</v>
      </c>
      <c r="H218" s="71" t="n">
        <f aca="false">H18+H32+H46+H60+H74+H88+H102+H116+H130+H187+H201</f>
        <v>815125.1939</v>
      </c>
      <c r="I218" s="71" t="n">
        <f aca="false">I18+I32+I46+I60+I74+I88+I102+I116+I130+I187+I201</f>
        <v>734715.0005</v>
      </c>
      <c r="J218" s="71" t="n">
        <f aca="false">J18+J32+J46+J60+J74+J88+J102+J116+J130+J187+J201</f>
        <v>827102.1112</v>
      </c>
      <c r="K218" s="71" t="n">
        <f aca="false">K18+K32+K46+K60+K74+K88+K102+K116+K130+K187+K201</f>
        <v>915707.4454</v>
      </c>
      <c r="L218" s="71" t="n">
        <f aca="false">L18+L32+L46+L60+L74+L88+L102+L116+L130+L187+L201</f>
        <v>897260.4431</v>
      </c>
      <c r="M218" s="71" t="n">
        <f aca="false">M18+M32+M46+M60+M74+M88+M102+M116+M130+M187+M201</f>
        <v>786578.621934</v>
      </c>
      <c r="N218" s="71" t="n">
        <f aca="false">N18+N32+N46+N60+N74+N88+N102+N116+N130+N187+N201</f>
        <v>994158.619920501</v>
      </c>
      <c r="O218" s="71" t="n">
        <f aca="false">O18+O32+O46+O60+O74+O88+O102+O116+O130+O187+O201</f>
        <v>912312.529529373</v>
      </c>
      <c r="P218" s="71" t="n">
        <f aca="false">P18+P32+P46+P60+P74+P88+P102+P116+P130+P187+P201</f>
        <v>1082523.84221462</v>
      </c>
      <c r="Q218" s="71" t="n">
        <f aca="false">Q18+Q32+Q46+Q60+Q74+Q88+Q102+Q116+Q130+Q187+Q201</f>
        <v>1038547.30565022</v>
      </c>
      <c r="R218" s="71" t="n">
        <f aca="false">R18+R32+R46+R60+R74+R88+R102+R116+R130+R187+R201</f>
        <v>1008898.92583115</v>
      </c>
      <c r="S218" s="71" t="n">
        <f aca="false">S18+S32+S46+S60+S74+S88+S102+S116+S130+S187+S201</f>
        <v>965952.85682676</v>
      </c>
      <c r="T218" s="71" t="n">
        <f aca="false">T18+T32+T46+T60+T74+T88+T102+T116+T130+T187+T201</f>
        <v>962765.301780794</v>
      </c>
      <c r="U218" s="71" t="n">
        <f aca="false">U18+U32+U46+U60+U74+U88+U102+U116+U130+U187+U201</f>
        <v>1020812.94740057</v>
      </c>
      <c r="V218" s="71" t="n">
        <f aca="false">V18+V32+V46+V60+V74+V88+V102+V116+V130+V187+V201</f>
        <v>790911.800637722</v>
      </c>
      <c r="W218" s="71" t="n">
        <f aca="false">W18+W32+W46+W60+W74+W88+W102+W116+W130+W187+W201</f>
        <v>966086.982122963</v>
      </c>
      <c r="X218" s="71" t="n">
        <f aca="false">X18+X32+X46+X60+X74+X88+X102+X116+X130+X187+X201</f>
        <v>993631.582826</v>
      </c>
      <c r="Y218" s="71" t="n">
        <f aca="false">Y18+Y32+Y46+Y60+Y74+Y88+Y102+Y116+Y130+Y187+Y201</f>
        <v>906450.897305141</v>
      </c>
      <c r="Z218" s="71" t="n">
        <f aca="false">Z18+Z32+Z46+Z60+Z74+Z88+Z102+Z116+Z130+Z187+Z201</f>
        <v>1006604.47071027</v>
      </c>
      <c r="AA218" s="71" t="n">
        <f aca="false">AA18+AA32+AA46+AA60+AA74+AA88+AA102+AA116+AA130+AA187+AA201</f>
        <v>945048.994242378</v>
      </c>
      <c r="AB218" s="71" t="n">
        <f aca="false">AB18+AB32+AB46+AB60+AB74+AB88+AB102+AB116+AB130+AB187+AB201</f>
        <v>962131.428489923</v>
      </c>
    </row>
    <row r="219" customFormat="false" ht="15" hidden="false" customHeight="false" outlineLevel="0" collapsed="false">
      <c r="A219" s="29" t="s">
        <v>983</v>
      </c>
      <c r="B219" s="60"/>
      <c r="C219" s="61" t="n">
        <f aca="false">P219</f>
        <v>0</v>
      </c>
      <c r="D219" s="61" t="n">
        <f aca="false">AB219</f>
        <v>0</v>
      </c>
      <c r="E219" s="71" t="n">
        <f aca="false">E159+E173</f>
        <v>0</v>
      </c>
      <c r="F219" s="71" t="n">
        <f aca="false">F159+F173</f>
        <v>0</v>
      </c>
      <c r="G219" s="71" t="n">
        <f aca="false">G159+G173</f>
        <v>59471.79</v>
      </c>
      <c r="H219" s="71" t="n">
        <f aca="false">H159+H173</f>
        <v>68936.55</v>
      </c>
      <c r="I219" s="71" t="n">
        <f aca="false">I159+I173</f>
        <v>64551.02</v>
      </c>
      <c r="J219" s="71" t="n">
        <f aca="false">J159+J173</f>
        <v>105075.76</v>
      </c>
      <c r="K219" s="71" t="n">
        <f aca="false">K159+K173</f>
        <v>65658.62</v>
      </c>
      <c r="L219" s="71" t="n">
        <f aca="false">L159+L173</f>
        <v>78067.52</v>
      </c>
      <c r="M219" s="71" t="n">
        <f aca="false">M159+M173</f>
        <v>130660.06</v>
      </c>
      <c r="N219" s="71" t="n">
        <f aca="false">N159+N173</f>
        <v>71063.1970791517</v>
      </c>
      <c r="O219" s="71" t="n">
        <f aca="false">O159+O173</f>
        <v>122458.786714994</v>
      </c>
      <c r="P219" s="71" t="n">
        <f aca="false">P159+P173</f>
        <v>0</v>
      </c>
      <c r="Q219" s="71" t="n">
        <f aca="false">Q159+Q173</f>
        <v>40443.5445694581</v>
      </c>
      <c r="R219" s="71" t="n">
        <f aca="false">R159+R173</f>
        <v>72290.8974091144</v>
      </c>
      <c r="S219" s="71" t="n">
        <f aca="false">S159+S173</f>
        <v>74549.9879531493</v>
      </c>
      <c r="T219" s="71" t="n">
        <f aca="false">T159+T173</f>
        <v>79971.8052588329</v>
      </c>
      <c r="U219" s="71" t="n">
        <f aca="false">U159+U173</f>
        <v>83586.3501292886</v>
      </c>
      <c r="V219" s="71" t="n">
        <f aca="false">V159+V173</f>
        <v>63706.3533417821</v>
      </c>
      <c r="W219" s="71" t="n">
        <f aca="false">W159+W173</f>
        <v>43380.9767059136</v>
      </c>
      <c r="X219" s="71" t="n">
        <f aca="false">X159+X173</f>
        <v>42018.2235109635</v>
      </c>
      <c r="Y219" s="71" t="n">
        <f aca="false">Y159+Y173</f>
        <v>0</v>
      </c>
      <c r="Z219" s="71" t="n">
        <f aca="false">Z159+Z173</f>
        <v>0</v>
      </c>
      <c r="AA219" s="71" t="n">
        <f aca="false">AA159+AA173</f>
        <v>0</v>
      </c>
      <c r="AB219" s="71" t="n">
        <f aca="false">AB159+AB173</f>
        <v>0</v>
      </c>
    </row>
    <row r="220" customFormat="false" ht="15" hidden="false" customHeight="false" outlineLevel="0" collapsed="false">
      <c r="A220" s="29" t="s">
        <v>984</v>
      </c>
      <c r="B220" s="60"/>
      <c r="C220" s="61" t="n">
        <f aca="false">P220</f>
        <v>123036.4612</v>
      </c>
      <c r="D220" s="61" t="n">
        <f aca="false">AB220</f>
        <v>123036.4612</v>
      </c>
      <c r="E220" s="71" t="n">
        <f aca="false">E145</f>
        <v>36076.8065</v>
      </c>
      <c r="F220" s="71" t="n">
        <f aca="false">F145</f>
        <v>59097.3223</v>
      </c>
      <c r="G220" s="71" t="n">
        <f aca="false">G145</f>
        <v>61023.2319</v>
      </c>
      <c r="H220" s="71" t="n">
        <f aca="false">H145</f>
        <v>63137.1899</v>
      </c>
      <c r="I220" s="71" t="n">
        <f aca="false">I145</f>
        <v>71975.2379</v>
      </c>
      <c r="J220" s="71" t="n">
        <f aca="false">J145</f>
        <v>105634.2808</v>
      </c>
      <c r="K220" s="71" t="n">
        <f aca="false">K145</f>
        <v>123036.4612</v>
      </c>
      <c r="L220" s="71" t="n">
        <f aca="false">L145</f>
        <v>123036.4612</v>
      </c>
      <c r="M220" s="71" t="n">
        <f aca="false">M145</f>
        <v>123036.4612</v>
      </c>
      <c r="N220" s="71" t="n">
        <f aca="false">N145</f>
        <v>123036.4612</v>
      </c>
      <c r="O220" s="71" t="n">
        <f aca="false">O145</f>
        <v>123036.4612</v>
      </c>
      <c r="P220" s="71" t="n">
        <f aca="false">P145</f>
        <v>123036.4612</v>
      </c>
      <c r="Q220" s="71" t="n">
        <f aca="false">Q145</f>
        <v>123036.4612</v>
      </c>
      <c r="R220" s="71" t="n">
        <f aca="false">R145</f>
        <v>123036.4612</v>
      </c>
      <c r="S220" s="71" t="n">
        <f aca="false">S145</f>
        <v>123036.4612</v>
      </c>
      <c r="T220" s="71" t="n">
        <f aca="false">T145</f>
        <v>123036.4612</v>
      </c>
      <c r="U220" s="71" t="n">
        <f aca="false">U145</f>
        <v>123036.4612</v>
      </c>
      <c r="V220" s="71" t="n">
        <f aca="false">V145</f>
        <v>123036.4612</v>
      </c>
      <c r="W220" s="71" t="n">
        <f aca="false">W145</f>
        <v>123036.4612</v>
      </c>
      <c r="X220" s="71" t="n">
        <f aca="false">X145</f>
        <v>123036.4612</v>
      </c>
      <c r="Y220" s="71" t="n">
        <f aca="false">Y145</f>
        <v>123036.4612</v>
      </c>
      <c r="Z220" s="71" t="n">
        <f aca="false">Z145</f>
        <v>123036.4612</v>
      </c>
      <c r="AA220" s="71" t="n">
        <f aca="false">AA145</f>
        <v>123036.4612</v>
      </c>
      <c r="AB220" s="71" t="n">
        <f aca="false">AB145</f>
        <v>123036.4612</v>
      </c>
    </row>
    <row r="221" customFormat="false" ht="15" hidden="false" customHeight="false" outlineLevel="0" collapsed="false">
      <c r="A221" s="29" t="s">
        <v>340</v>
      </c>
      <c r="B221" s="60"/>
      <c r="E221" s="64" t="n">
        <f aca="false">IF(E208=0,0,MAX(E11,E25,E39,E53,E67,E81,E95,E109,E123,E137,E152,E166,E180)/E208)</f>
        <v>0.284763205938945</v>
      </c>
      <c r="F221" s="64" t="n">
        <f aca="false">IF(F208=0,0,MAX(F11,F25,F39,F53,F67,F81,F95,F109,F123,F137,F152,F166,F180)/F208)</f>
        <v>0.22672605749099</v>
      </c>
      <c r="G221" s="64" t="n">
        <f aca="false">IF(G208=0,0,MAX(G11,G25,G39,G53,G67,G81,G95,G109,G123,G137,G152,G166,G180)/G208)</f>
        <v>0.225829169048843</v>
      </c>
      <c r="H221" s="64" t="n">
        <f aca="false">IF(H208=0,0,MAX(H11,H25,H39,H53,H67,H81,H95,H109,H123,H137,H152,H166,H180)/H208)</f>
        <v>0.189204416642147</v>
      </c>
      <c r="I221" s="64" t="n">
        <f aca="false">IF(I208=0,0,MAX(I11,I25,I39,I53,I67,I81,I95,I109,I123,I137,I152,I166,I180)/I208)</f>
        <v>0.203337266907242</v>
      </c>
      <c r="J221" s="64" t="n">
        <f aca="false">IF(J208=0,0,MAX(J11,J25,J39,J53,J67,J81,J95,J109,J123,J137,J152,J166,J180)/J208)</f>
        <v>0.183451233480814</v>
      </c>
      <c r="K221" s="64" t="n">
        <f aca="false">IF(K208=0,0,MAX(K11,K25,K39,K53,K67,K81,K95,K109,K123,K137,K152,K166,K180)/K208)</f>
        <v>0.248016395112042</v>
      </c>
      <c r="L221" s="64" t="n">
        <f aca="false">IF(L208=0,0,MAX(L11,L25,L39,L53,L67,L81,L95,L109,L123,L137,L152,L166,L180)/L208)</f>
        <v>0.220420048775731</v>
      </c>
      <c r="M221" s="64" t="n">
        <f aca="false">IF(M208=0,0,MAX(M11,M25,M39,M53,M67,M81,M95,M109,M123,M137,M152,M166,M180)/M208)</f>
        <v>0.320013883404388</v>
      </c>
      <c r="N221" s="64" t="n">
        <f aca="false">IF(N208=0,0,MAX(N11,N25,N39,N53,N67,N81,N95,N109,N123,N137,N152,N166,N180)/N208)</f>
        <v>0.33952402290878</v>
      </c>
      <c r="O221" s="64" t="n">
        <f aca="false">IF(O208=0,0,MAX(O11,O25,O39,O53,O67,O81,O95,O109,O123,O137,O152,O166,O180)/O208)</f>
        <v>0.334960836609744</v>
      </c>
      <c r="P221" s="64" t="n">
        <f aca="false">IF(P208=0,0,MAX(P11,P25,P39,P53,P67,P81,P95,P109,P123,P137,P152,P166,P180)/P208)</f>
        <v>0.31982622338469</v>
      </c>
      <c r="Q221" s="64" t="n">
        <f aca="false">IF(Q208=0,0,MAX(Q11,Q25,Q39,Q53,Q67,Q81,Q95,Q109,Q123,Q137,Q152,Q166,Q180)/Q208)</f>
        <v>0.307978244741337</v>
      </c>
      <c r="R221" s="64" t="n">
        <f aca="false">IF(R208=0,0,MAX(R11,R25,R39,R53,R67,R81,R95,R109,R123,R137,R152,R166,R180)/R208)</f>
        <v>0.306167353804102</v>
      </c>
      <c r="S221" s="64" t="n">
        <f aca="false">IF(S208=0,0,MAX(S11,S25,S39,S53,S67,S81,S95,S109,S123,S137,S152,S166,S180)/S208)</f>
        <v>0.331340787009512</v>
      </c>
      <c r="T221" s="64" t="n">
        <f aca="false">IF(T208=0,0,MAX(T11,T25,T39,T53,T67,T81,T95,T109,T123,T137,T152,T166,T180)/T208)</f>
        <v>0.14531014451567</v>
      </c>
      <c r="U221" s="64" t="n">
        <f aca="false">IF(U208=0,0,MAX(U11,U25,U39,U53,U67,U81,U95,U109,U123,U137,U152,U166,U180)/U208)</f>
        <v>0.147251718565731</v>
      </c>
      <c r="V221" s="64" t="n">
        <f aca="false">IF(V208=0,0,MAX(V11,V25,V39,V53,V67,V81,V95,V109,V123,V137,V152,V166,V180)/V208)</f>
        <v>0.150267771164407</v>
      </c>
      <c r="W221" s="64" t="n">
        <f aca="false">IF(W208=0,0,MAX(W11,W25,W39,W53,W67,W81,W95,W109,W123,W137,W152,W166,W180)/W208)</f>
        <v>0.153077472228567</v>
      </c>
      <c r="X221" s="64" t="n">
        <f aca="false">IF(X208=0,0,MAX(X11,X25,X39,X53,X67,X81,X95,X109,X123,X137,X152,X166,X180)/X208)</f>
        <v>0.156345863283733</v>
      </c>
      <c r="Y221" s="64" t="n">
        <f aca="false">IF(Y208=0,0,MAX(Y11,Y25,Y39,Y53,Y67,Y81,Y95,Y109,Y123,Y137,Y152,Y166,Y180)/Y208)</f>
        <v>0.150029263233826</v>
      </c>
      <c r="Z221" s="64" t="n">
        <f aca="false">IF(Z208=0,0,MAX(Z11,Z25,Z39,Z53,Z67,Z81,Z95,Z109,Z123,Z137,Z152,Z166,Z180)/Z208)</f>
        <v>0.151684179127461</v>
      </c>
      <c r="AA221" s="64" t="n">
        <f aca="false">IF(AA208=0,0,MAX(AA11,AA25,AA39,AA53,AA67,AA81,AA95,AA109,AA123,AA137,AA152,AA166,AA180)/AA208)</f>
        <v>0.152685947736792</v>
      </c>
      <c r="AB221" s="64" t="n">
        <f aca="false">IF(AB208=0,0,MAX(AB11,AB25,AB39,AB53,AB67,AB81,AB95,AB109,AB123,AB137,AB152,AB166,AB180)/AB208)</f>
        <v>0.152762511029518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7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985</v>
      </c>
    </row>
    <row r="3" customFormat="false" ht="15" hidden="false" customHeight="false" outlineLevel="0" collapsed="false">
      <c r="A3" s="51" t="s">
        <v>986</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987</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988</v>
      </c>
      <c r="B9" s="60" t="s">
        <v>989</v>
      </c>
      <c r="C9" s="66" t="n">
        <f aca="false">SUM(E9:P9)</f>
        <v>2520</v>
      </c>
      <c r="D9" s="66" t="n">
        <f aca="false">SUM(Q9:AB9)</f>
        <v>2532</v>
      </c>
      <c r="E9" s="67" t="n">
        <f aca="false">(People!E40+Assumptions!$C$84)*Assumptions!E$200</f>
        <v>204</v>
      </c>
      <c r="F9" s="67" t="n">
        <f aca="false">(People!F40+Assumptions!$C$84)*Assumptions!F$200</f>
        <v>198</v>
      </c>
      <c r="G9" s="67" t="n">
        <f aca="false">(People!G40+Assumptions!$C$84)*Assumptions!G$200</f>
        <v>224.4</v>
      </c>
      <c r="H9" s="67" t="n">
        <f aca="false">(People!H40+Assumptions!$C$84)*Assumptions!H$200</f>
        <v>198</v>
      </c>
      <c r="I9" s="67" t="n">
        <f aca="false">(People!I40+Assumptions!$C$84)*Assumptions!I$200</f>
        <v>169.2</v>
      </c>
      <c r="J9" s="67" t="n">
        <f aca="false">(People!J40+Assumptions!$C$84)*Assumptions!J$200</f>
        <v>217.2</v>
      </c>
      <c r="K9" s="67" t="n">
        <f aca="false">(People!K40+Assumptions!$C$84)*Assumptions!K$200</f>
        <v>234</v>
      </c>
      <c r="L9" s="67" t="n">
        <f aca="false">(People!L40+Assumptions!$C$84)*Assumptions!L$200</f>
        <v>182.4</v>
      </c>
      <c r="M9" s="67" t="n">
        <f aca="false">(People!M40+Assumptions!$C$84)*Assumptions!M$200</f>
        <v>229.2</v>
      </c>
      <c r="N9" s="67" t="n">
        <f aca="false">(People!N40+Assumptions!$C$84)*Assumptions!N$200</f>
        <v>220.8</v>
      </c>
      <c r="O9" s="67" t="n">
        <f aca="false">(People!O40+Assumptions!$C$84)*Assumptions!O$200</f>
        <v>218.4</v>
      </c>
      <c r="P9" s="67" t="n">
        <f aca="false">(People!P40+Assumptions!$C$84)*Assumptions!P$200</f>
        <v>224.4</v>
      </c>
      <c r="Q9" s="67" t="n">
        <f aca="false">(People!Q40+Assumptions!$C$84)*Assumptions!Q$200</f>
        <v>192</v>
      </c>
      <c r="R9" s="67" t="n">
        <f aca="false">(People!R40+Assumptions!$C$84)*Assumptions!R$200</f>
        <v>198</v>
      </c>
      <c r="S9" s="67" t="n">
        <f aca="false">(People!S40+Assumptions!$C$84)*Assumptions!S$200</f>
        <v>212.4</v>
      </c>
      <c r="T9" s="67" t="n">
        <f aca="false">(People!T40+Assumptions!$C$84)*Assumptions!T$200</f>
        <v>222</v>
      </c>
      <c r="U9" s="67" t="n">
        <f aca="false">(People!U40+Assumptions!$C$84)*Assumptions!U$200</f>
        <v>169.2</v>
      </c>
      <c r="V9" s="67" t="n">
        <f aca="false">(People!V40+Assumptions!$C$84)*Assumptions!V$200</f>
        <v>229.2</v>
      </c>
      <c r="W9" s="67" t="n">
        <f aca="false">(People!W40+Assumptions!$C$84)*Assumptions!W$200</f>
        <v>222</v>
      </c>
      <c r="X9" s="67" t="n">
        <f aca="false">(People!X40+Assumptions!$C$84)*Assumptions!X$200</f>
        <v>194.4</v>
      </c>
      <c r="Y9" s="67" t="n">
        <f aca="false">(People!Y40+Assumptions!$C$84)*Assumptions!Y$200</f>
        <v>229.2</v>
      </c>
      <c r="Z9" s="67" t="n">
        <f aca="false">(People!Z40+Assumptions!$C$84)*Assumptions!Z$200</f>
        <v>208.8</v>
      </c>
      <c r="AA9" s="67" t="n">
        <f aca="false">(People!AA40+Assumptions!$C$84)*Assumptions!AA$200</f>
        <v>218.4</v>
      </c>
      <c r="AB9" s="67" t="n">
        <f aca="false">(People!AB40+Assumptions!$C$84)*Assumptions!AB$200</f>
        <v>236.4</v>
      </c>
    </row>
    <row r="10" customFormat="false" ht="15" hidden="false" customHeight="false" outlineLevel="0" collapsed="false">
      <c r="A10" s="29" t="s">
        <v>990</v>
      </c>
      <c r="B10" s="60" t="s">
        <v>991</v>
      </c>
      <c r="C10" s="66" t="n">
        <f aca="false">SUM(E10:P10)</f>
        <v>838.220064606742</v>
      </c>
      <c r="D10" s="66" t="n">
        <f aca="false">SUM(Q10:AB10)</f>
        <v>278.926685393258</v>
      </c>
      <c r="E10" s="67" t="n">
        <f aca="false">IF(E$5="A",Inputs_Actuals!E134+Inputs_Actuals!E135,SUMPRODUCT((Engagement_Register!$C$7:$C$39="OPS")*Engagement_Register!$Y$7:$Y$39*Engagements!$E$9:$E$41))</f>
        <v>51.7335</v>
      </c>
      <c r="F10" s="67" t="n">
        <f aca="false">IF(F$5="A",Inputs_Actuals!F134+Inputs_Actuals!F135,SUMPRODUCT((Engagement_Register!$C$7:$C$39="OPS")*Engagement_Register!$Y$7:$Y$39*Engagements!$F$9:$F$41))</f>
        <v>53.313</v>
      </c>
      <c r="G10" s="67" t="n">
        <f aca="false">IF(G$5="A",Inputs_Actuals!G134+Inputs_Actuals!G135,SUMPRODUCT((Engagement_Register!$C$7:$C$39="OPS")*Engagement_Register!$Y$7:$Y$39*Engagements!$G$9:$G$41))</f>
        <v>81.799</v>
      </c>
      <c r="H10" s="67" t="n">
        <f aca="false">IF(H$5="A",Inputs_Actuals!H134+Inputs_Actuals!H135,SUMPRODUCT((Engagement_Register!$C$7:$C$39="OPS")*Engagement_Register!$Y$7:$Y$39*Engagements!$H$9:$H$41))</f>
        <v>67.38</v>
      </c>
      <c r="I10" s="67" t="n">
        <f aca="false">IF(I$5="A",Inputs_Actuals!I134+Inputs_Actuals!I135,SUMPRODUCT((Engagement_Register!$C$7:$C$39="OPS")*Engagement_Register!$Y$7:$Y$39*Engagements!$I$9:$I$41))</f>
        <v>73.1815</v>
      </c>
      <c r="J10" s="67" t="n">
        <f aca="false">IF(J$5="A",Inputs_Actuals!J134+Inputs_Actuals!J135,SUMPRODUCT((Engagement_Register!$C$7:$C$39="OPS")*Engagement_Register!$Y$7:$Y$39*Engagements!$J$9:$J$41))</f>
        <v>88.826</v>
      </c>
      <c r="K10" s="67" t="n">
        <f aca="false">IF(K$5="A",Inputs_Actuals!K134+Inputs_Actuals!K135,SUMPRODUCT((Engagement_Register!$C$7:$C$39="OPS")*Engagement_Register!$Y$7:$Y$39*Engagements!$K$9:$K$41))</f>
        <v>71.831</v>
      </c>
      <c r="L10" s="67" t="n">
        <f aca="false">IF(L$5="A",Inputs_Actuals!L134+Inputs_Actuals!L135,SUMPRODUCT((Engagement_Register!$C$7:$C$39="OPS")*Engagement_Register!$Y$7:$Y$39*Engagements!$L$9:$L$41))</f>
        <v>65.262</v>
      </c>
      <c r="M10" s="67" t="n">
        <f aca="false">IF(M$5="A",Inputs_Actuals!M134+Inputs_Actuals!M135,SUMPRODUCT((Engagement_Register!$C$7:$C$39="OPS")*Engagement_Register!$Y$7:$Y$39*Engagements!$M$9:$M$41))</f>
        <v>83.3757242597388</v>
      </c>
      <c r="N10" s="67" t="n">
        <f aca="false">IF(N$5="A",Inputs_Actuals!N134+Inputs_Actuals!N135,SUMPRODUCT((Engagement_Register!$C$7:$C$39="OPS")*Engagement_Register!$Y$7:$Y$39*Engagements!$N$9:$N$41))</f>
        <v>80.8524152587688</v>
      </c>
      <c r="O10" s="67" t="n">
        <f aca="false">IF(O$5="A",Inputs_Actuals!O134+Inputs_Actuals!O135,SUMPRODUCT((Engagement_Register!$C$7:$C$39="OPS")*Engagement_Register!$Y$7:$Y$39*Engagements!$O$9:$O$41))</f>
        <v>66.04315905813</v>
      </c>
      <c r="P10" s="67" t="n">
        <f aca="false">IF(P$5="A",Inputs_Actuals!P134+Inputs_Actuals!P135,SUMPRODUCT((Engagement_Register!$C$7:$C$39="OPS")*Engagement_Register!$Y$7:$Y$39*Engagements!$P$9:$P$41))</f>
        <v>54.622766030104</v>
      </c>
      <c r="Q10" s="67" t="n">
        <f aca="false">IF(Q$5="A",Inputs_Actuals!Q134+Inputs_Actuals!Q135,SUMPRODUCT((Engagement_Register!$C$7:$C$39="OPS")*Engagement_Register!$Y$7:$Y$39*Engagements!$Q$9:$Q$41))</f>
        <v>38.2779910617924</v>
      </c>
      <c r="R10" s="67" t="n">
        <f aca="false">IF(R$5="A",Inputs_Actuals!R134+Inputs_Actuals!R135,SUMPRODUCT((Engagement_Register!$C$7:$C$39="OPS")*Engagement_Register!$Y$7:$Y$39*Engagements!$R$9:$R$41))</f>
        <v>39.4741782824734</v>
      </c>
      <c r="S10" s="67" t="n">
        <f aca="false">IF(S$5="A",Inputs_Actuals!S134+Inputs_Actuals!S135,SUMPRODUCT((Engagement_Register!$C$7:$C$39="OPS")*Engagement_Register!$Y$7:$Y$39*Engagements!$S$9:$S$41))</f>
        <v>47.1036335865033</v>
      </c>
      <c r="T10" s="67" t="n">
        <f aca="false">IF(T$5="A",Inputs_Actuals!T134+Inputs_Actuals!T135,SUMPRODUCT((Engagement_Register!$C$7:$C$39="OPS")*Engagement_Register!$Y$7:$Y$39*Engagements!$T$9:$T$41))</f>
        <v>34.5001675554991</v>
      </c>
      <c r="U10" s="67" t="n">
        <f aca="false">IF(U$5="A",Inputs_Actuals!U134+Inputs_Actuals!U135,SUMPRODUCT((Engagement_Register!$C$7:$C$39="OPS")*Engagement_Register!$Y$7:$Y$39*Engagements!$U$9:$U$41))</f>
        <v>26.2947222990561</v>
      </c>
      <c r="V10" s="67" t="n">
        <f aca="false">IF(V$5="A",Inputs_Actuals!V134+Inputs_Actuals!V135,SUMPRODUCT((Engagement_Register!$C$7:$C$39="OPS")*Engagement_Register!$Y$7:$Y$39*Engagements!$V$9:$V$41))</f>
        <v>35.6190919086504</v>
      </c>
      <c r="W10" s="67" t="n">
        <f aca="false">IF(W$5="A",Inputs_Actuals!W134+Inputs_Actuals!W135,SUMPRODUCT((Engagement_Register!$C$7:$C$39="OPS")*Engagement_Register!$Y$7:$Y$39*Engagements!$W$9:$W$41))</f>
        <v>24.2062519519662</v>
      </c>
      <c r="X10" s="67" t="n">
        <f aca="false">IF(X$5="A",Inputs_Actuals!X134+Inputs_Actuals!X135,SUMPRODUCT((Engagement_Register!$C$7:$C$39="OPS")*Engagement_Register!$Y$7:$Y$39*Engagements!$X$9:$X$41))</f>
        <v>13.204467229627</v>
      </c>
      <c r="Y10" s="67" t="n">
        <f aca="false">IF(Y$5="A",Inputs_Actuals!Y134+Inputs_Actuals!Y135,SUMPRODUCT((Engagement_Register!$C$7:$C$39="OPS")*Engagement_Register!$Y$7:$Y$39*Engagements!$Y$9:$Y$41))</f>
        <v>15.5682298818441</v>
      </c>
      <c r="Z10" s="67" t="n">
        <f aca="false">IF(Z$5="A",Inputs_Actuals!Z134+Inputs_Actuals!Z135,SUMPRODUCT((Engagement_Register!$C$7:$C$39="OPS")*Engagement_Register!$Y$7:$Y$39*Engagements!$Z$9:$Z$41))</f>
        <v>4.67795163584637</v>
      </c>
      <c r="AA10" s="67" t="n">
        <f aca="false">IF(AA$5="A",Inputs_Actuals!AA134+Inputs_Actuals!AA135,SUMPRODUCT((Engagement_Register!$C$7:$C$39="OPS")*Engagement_Register!$Y$7:$Y$39*Engagements!$AA$9:$AA$41))</f>
        <v>0</v>
      </c>
      <c r="AB10" s="67" t="n">
        <f aca="false">IF(AB$5="A",Inputs_Actuals!AB134+Inputs_Actuals!AB135,SUMPRODUCT((Engagement_Register!$C$7:$C$39="OPS")*Engagement_Register!$Y$7:$Y$39*Engagements!$AB$9:$AB$41))</f>
        <v>0</v>
      </c>
    </row>
    <row r="11" customFormat="false" ht="15" hidden="false" customHeight="false" outlineLevel="0" collapsed="false">
      <c r="A11" s="29" t="s">
        <v>992</v>
      </c>
      <c r="B11" s="60" t="s">
        <v>993</v>
      </c>
      <c r="C11" s="66" t="n">
        <f aca="false">SUM(E11:P11)</f>
        <v>45.1632599294128</v>
      </c>
      <c r="D11" s="66" t="n">
        <f aca="false">SUM(Q11:AB11)</f>
        <v>587.098651685393</v>
      </c>
      <c r="E11" s="72" t="n">
        <f aca="false">0</f>
        <v>0</v>
      </c>
      <c r="F11" s="72" t="n">
        <f aca="false">0</f>
        <v>0</v>
      </c>
      <c r="G11" s="72" t="n">
        <f aca="false">0</f>
        <v>0</v>
      </c>
      <c r="H11" s="72" t="n">
        <f aca="false">0</f>
        <v>0</v>
      </c>
      <c r="I11" s="72" t="n">
        <f aca="false">0</f>
        <v>0</v>
      </c>
      <c r="J11" s="72" t="n">
        <f aca="false">0</f>
        <v>0</v>
      </c>
      <c r="K11" s="72" t="n">
        <f aca="false">0</f>
        <v>0</v>
      </c>
      <c r="L11" s="72" t="n">
        <f aca="false">0</f>
        <v>0</v>
      </c>
      <c r="M11" s="67" t="n">
        <f aca="false">IF(Assumptions!M$186&gt;=Assumptions!$C$152,MAX(0,Assumptions!$F$64*M9-M10)*Assumptions!$F$168,0)</f>
        <v>0</v>
      </c>
      <c r="N11" s="67" t="n">
        <f aca="false">IF(Assumptions!N$186&gt;=Assumptions!$C$152,MAX(0,Assumptions!$F$64*N9-N10)*Assumptions!$F$168,0)</f>
        <v>0</v>
      </c>
      <c r="O11" s="67" t="n">
        <f aca="false">IF(Assumptions!O$186&gt;=Assumptions!$C$152,MAX(0,Assumptions!$F$64*O9-O10)*Assumptions!$F$168,0)</f>
        <v>17.053472753496</v>
      </c>
      <c r="P11" s="67" t="n">
        <f aca="false">IF(Assumptions!P$186&gt;=Assumptions!$C$152,MAX(0,Assumptions!$F$64*P9-P10)*Assumptions!$F$168,0)</f>
        <v>28.1097871759168</v>
      </c>
      <c r="Q11" s="67" t="n">
        <f aca="false">IF(Assumptions!Q$186&gt;=Assumptions!$C$152,MAX(0,Assumptions!$F$64*Q9-Q10)*Assumptions!$F$168,0)</f>
        <v>30.8176071505661</v>
      </c>
      <c r="R11" s="67" t="n">
        <f aca="false">IF(Assumptions!R$186&gt;=Assumptions!$C$152,MAX(0,Assumptions!$F$64*R9-R10)*Assumptions!$F$168,0)</f>
        <v>31.7806573740212</v>
      </c>
      <c r="S11" s="67" t="n">
        <f aca="false">IF(Assumptions!S$186&gt;=Assumptions!$C$152,MAX(0,Assumptions!$F$64*S9-S10)*Assumptions!$F$168,0)</f>
        <v>30.2850931307973</v>
      </c>
      <c r="T11" s="67" t="n">
        <f aca="false">IF(Assumptions!T$186&gt;=Assumptions!$C$152,MAX(0,Assumptions!$F$64*T9-T10)*Assumptions!$F$168,0)</f>
        <v>43.4398659556007</v>
      </c>
      <c r="U11" s="67" t="n">
        <f aca="false">IF(Assumptions!U$186&gt;=Assumptions!$C$152,MAX(0,Assumptions!$F$64*U9-U10)*Assumptions!$F$168,0)</f>
        <v>33.1082221607552</v>
      </c>
      <c r="V11" s="67" t="n">
        <f aca="false">IF(Assumptions!V$186&gt;=Assumptions!$C$152,MAX(0,Assumptions!$F$64*V9-V10)*Assumptions!$F$168,0)</f>
        <v>44.8487264730797</v>
      </c>
      <c r="W11" s="67" t="n">
        <f aca="false">IF(Assumptions!W$186&gt;=Assumptions!$C$152,MAX(0,Assumptions!$F$64*W9-W10)*Assumptions!$F$168,0)</f>
        <v>51.674998438427</v>
      </c>
      <c r="X11" s="67" t="n">
        <f aca="false">IF(Assumptions!X$186&gt;=Assumptions!$C$152,MAX(0,Assumptions!$F$64*X9-X10)*Assumptions!$F$168,0)</f>
        <v>51.6444262162984</v>
      </c>
      <c r="Y11" s="67" t="n">
        <f aca="false">IF(Assumptions!Y$186&gt;=Assumptions!$C$152,MAX(0,Assumptions!$F$64*Y9-Y10)*Assumptions!$F$168,0)</f>
        <v>60.8894160945247</v>
      </c>
      <c r="Z11" s="67" t="n">
        <f aca="false">IF(Assumptions!Z$186&gt;=Assumptions!$C$152,MAX(0,Assumptions!$F$64*Z9-Z10)*Assumptions!$F$168,0)</f>
        <v>63.0736386913229</v>
      </c>
      <c r="AA11" s="67" t="n">
        <f aca="false">IF(Assumptions!AA$186&gt;=Assumptions!$C$152,MAX(0,Assumptions!$F$64*AA9-AA10)*Assumptions!$F$168,0)</f>
        <v>69.888</v>
      </c>
      <c r="AB11" s="67" t="n">
        <f aca="false">IF(Assumptions!AB$186&gt;=Assumptions!$C$152,MAX(0,Assumptions!$F$64*AB9-AB10)*Assumptions!$F$168,0)</f>
        <v>75.648</v>
      </c>
    </row>
    <row r="12" customFormat="false" ht="15" hidden="false" customHeight="false" outlineLevel="0" collapsed="false">
      <c r="A12" s="29" t="s">
        <v>994</v>
      </c>
      <c r="B12" s="60" t="s">
        <v>995</v>
      </c>
      <c r="C12" s="66" t="n">
        <f aca="false">SUM(E12:P12)</f>
        <v>883.383324536154</v>
      </c>
      <c r="D12" s="66" t="n">
        <f aca="false">SUM(Q12:AB12)</f>
        <v>866.025337078652</v>
      </c>
      <c r="E12" s="72" t="n">
        <f aca="false">E10+E11</f>
        <v>51.7335</v>
      </c>
      <c r="F12" s="72" t="n">
        <f aca="false">F10+F11</f>
        <v>53.313</v>
      </c>
      <c r="G12" s="72" t="n">
        <f aca="false">G10+G11</f>
        <v>81.799</v>
      </c>
      <c r="H12" s="72" t="n">
        <f aca="false">H10+H11</f>
        <v>67.38</v>
      </c>
      <c r="I12" s="72" t="n">
        <f aca="false">I10+I11</f>
        <v>73.1815</v>
      </c>
      <c r="J12" s="72" t="n">
        <f aca="false">J10+J11</f>
        <v>88.826</v>
      </c>
      <c r="K12" s="72" t="n">
        <f aca="false">K10+K11</f>
        <v>71.831</v>
      </c>
      <c r="L12" s="72" t="n">
        <f aca="false">L10+L11</f>
        <v>65.262</v>
      </c>
      <c r="M12" s="72" t="n">
        <f aca="false">M10+M11</f>
        <v>83.3757242597388</v>
      </c>
      <c r="N12" s="72" t="n">
        <f aca="false">N10+N11</f>
        <v>80.8524152587688</v>
      </c>
      <c r="O12" s="72" t="n">
        <f aca="false">O10+O11</f>
        <v>83.096631811626</v>
      </c>
      <c r="P12" s="72" t="n">
        <f aca="false">P10+P11</f>
        <v>82.7325532060208</v>
      </c>
      <c r="Q12" s="72" t="n">
        <f aca="false">Q10+Q11</f>
        <v>69.0955982123585</v>
      </c>
      <c r="R12" s="72" t="n">
        <f aca="false">R10+R11</f>
        <v>71.2548356564947</v>
      </c>
      <c r="S12" s="72" t="n">
        <f aca="false">S10+S11</f>
        <v>77.3887267173007</v>
      </c>
      <c r="T12" s="72" t="n">
        <f aca="false">T10+T11</f>
        <v>77.9400335110998</v>
      </c>
      <c r="U12" s="72" t="n">
        <f aca="false">U10+U11</f>
        <v>59.4029444598112</v>
      </c>
      <c r="V12" s="72" t="n">
        <f aca="false">V10+V11</f>
        <v>80.4678183817301</v>
      </c>
      <c r="W12" s="72" t="n">
        <f aca="false">W10+W11</f>
        <v>75.8812503903933</v>
      </c>
      <c r="X12" s="72" t="n">
        <f aca="false">X10+X11</f>
        <v>64.8488934459254</v>
      </c>
      <c r="Y12" s="72" t="n">
        <f aca="false">Y10+Y11</f>
        <v>76.4576459763688</v>
      </c>
      <c r="Z12" s="72" t="n">
        <f aca="false">Z10+Z11</f>
        <v>67.7515903271693</v>
      </c>
      <c r="AA12" s="72" t="n">
        <f aca="false">AA10+AA11</f>
        <v>69.888</v>
      </c>
      <c r="AB12" s="72" t="n">
        <f aca="false">AB10+AB11</f>
        <v>75.648</v>
      </c>
    </row>
    <row r="13" customFormat="false" ht="15" hidden="false" customHeight="false" outlineLevel="0" collapsed="false">
      <c r="A13" s="29" t="s">
        <v>996</v>
      </c>
      <c r="B13" s="60" t="s">
        <v>997</v>
      </c>
      <c r="C13" s="66" t="n">
        <f aca="false">SUM(E13:P13)</f>
        <v>882.957324536154</v>
      </c>
      <c r="D13" s="66" t="n">
        <f aca="false">SUM(Q13:AB13)</f>
        <v>866.025337078652</v>
      </c>
      <c r="E13" s="67" t="n">
        <f aca="false">IF(E$5="A",Inputs_Actuals!E134,MIN(E12,E9*Assumptions!$C$83))</f>
        <v>51.7</v>
      </c>
      <c r="F13" s="67" t="n">
        <f aca="false">IF(F$5="A",Inputs_Actuals!F134,MIN(F12,F9*Assumptions!$C$83))</f>
        <v>53.3</v>
      </c>
      <c r="G13" s="67" t="n">
        <f aca="false">IF(G$5="A",Inputs_Actuals!G134,MIN(G12,G9*Assumptions!$C$83))</f>
        <v>81.7</v>
      </c>
      <c r="H13" s="67" t="n">
        <f aca="false">IF(H$5="A",Inputs_Actuals!H134,MIN(H12,H9*Assumptions!$C$83))</f>
        <v>67.3</v>
      </c>
      <c r="I13" s="67" t="n">
        <f aca="false">IF(I$5="A",Inputs_Actuals!I134,MIN(I12,I9*Assumptions!$C$83))</f>
        <v>73.1</v>
      </c>
      <c r="J13" s="67" t="n">
        <f aca="false">IF(J$5="A",Inputs_Actuals!J134,MIN(J12,J9*Assumptions!$C$83))</f>
        <v>88.8</v>
      </c>
      <c r="K13" s="67" t="n">
        <f aca="false">IF(K$5="A",Inputs_Actuals!K134,MIN(K12,K9*Assumptions!$C$83))</f>
        <v>71.8</v>
      </c>
      <c r="L13" s="67" t="n">
        <f aca="false">IF(L$5="A",Inputs_Actuals!L134,MIN(L12,L9*Assumptions!$C$83))</f>
        <v>65.2</v>
      </c>
      <c r="M13" s="67" t="n">
        <f aca="false">IF(M$5="A",Inputs_Actuals!M134,MIN(M12,M9*Assumptions!$C$83))</f>
        <v>83.3757242597388</v>
      </c>
      <c r="N13" s="67" t="n">
        <f aca="false">IF(N$5="A",Inputs_Actuals!N134,MIN(N12,N9*Assumptions!$C$83))</f>
        <v>80.8524152587688</v>
      </c>
      <c r="O13" s="67" t="n">
        <f aca="false">IF(O$5="A",Inputs_Actuals!O134,MIN(O12,O9*Assumptions!$C$83))</f>
        <v>83.096631811626</v>
      </c>
      <c r="P13" s="67" t="n">
        <f aca="false">IF(P$5="A",Inputs_Actuals!P134,MIN(P12,P9*Assumptions!$C$83))</f>
        <v>82.7325532060208</v>
      </c>
      <c r="Q13" s="67" t="n">
        <f aca="false">IF(Q$5="A",Inputs_Actuals!Q134,MIN(Q12,Q9*Assumptions!$C$83))</f>
        <v>69.0955982123585</v>
      </c>
      <c r="R13" s="67" t="n">
        <f aca="false">IF(R$5="A",Inputs_Actuals!R134,MIN(R12,R9*Assumptions!$C$83))</f>
        <v>71.2548356564947</v>
      </c>
      <c r="S13" s="67" t="n">
        <f aca="false">IF(S$5="A",Inputs_Actuals!S134,MIN(S12,S9*Assumptions!$C$83))</f>
        <v>77.3887267173007</v>
      </c>
      <c r="T13" s="67" t="n">
        <f aca="false">IF(T$5="A",Inputs_Actuals!T134,MIN(T12,T9*Assumptions!$C$83))</f>
        <v>77.9400335110998</v>
      </c>
      <c r="U13" s="67" t="n">
        <f aca="false">IF(U$5="A",Inputs_Actuals!U134,MIN(U12,U9*Assumptions!$C$83))</f>
        <v>59.4029444598112</v>
      </c>
      <c r="V13" s="67" t="n">
        <f aca="false">IF(V$5="A",Inputs_Actuals!V134,MIN(V12,V9*Assumptions!$C$83))</f>
        <v>80.4678183817301</v>
      </c>
      <c r="W13" s="67" t="n">
        <f aca="false">IF(W$5="A",Inputs_Actuals!W134,MIN(W12,W9*Assumptions!$C$83))</f>
        <v>75.8812503903933</v>
      </c>
      <c r="X13" s="67" t="n">
        <f aca="false">IF(X$5="A",Inputs_Actuals!X134,MIN(X12,X9*Assumptions!$C$83))</f>
        <v>64.8488934459254</v>
      </c>
      <c r="Y13" s="67" t="n">
        <f aca="false">IF(Y$5="A",Inputs_Actuals!Y134,MIN(Y12,Y9*Assumptions!$C$83))</f>
        <v>76.4576459763688</v>
      </c>
      <c r="Z13" s="67" t="n">
        <f aca="false">IF(Z$5="A",Inputs_Actuals!Z134,MIN(Z12,Z9*Assumptions!$C$83))</f>
        <v>67.7515903271693</v>
      </c>
      <c r="AA13" s="67" t="n">
        <f aca="false">IF(AA$5="A",Inputs_Actuals!AA134,MIN(AA12,AA9*Assumptions!$C$83))</f>
        <v>69.888</v>
      </c>
      <c r="AB13" s="67" t="n">
        <f aca="false">IF(AB$5="A",Inputs_Actuals!AB134,MIN(AB12,AB9*Assumptions!$C$83))</f>
        <v>75.648</v>
      </c>
    </row>
    <row r="14" customFormat="false" ht="15" hidden="false" customHeight="false" outlineLevel="0" collapsed="false">
      <c r="A14" s="29" t="s">
        <v>998</v>
      </c>
      <c r="B14" s="60" t="s">
        <v>999</v>
      </c>
      <c r="C14" s="66" t="n">
        <f aca="false">SUM(E14:P14)</f>
        <v>0.426</v>
      </c>
      <c r="D14" s="66" t="n">
        <f aca="false">SUM(Q14:AB14)</f>
        <v>0</v>
      </c>
      <c r="E14" s="67" t="n">
        <f aca="false">IF(E$5="A",Inputs_Actuals!E135,E12-E13)</f>
        <v>0.0335</v>
      </c>
      <c r="F14" s="67" t="n">
        <f aca="false">IF(F$5="A",Inputs_Actuals!F135,F12-F13)</f>
        <v>0.013</v>
      </c>
      <c r="G14" s="67" t="n">
        <f aca="false">IF(G$5="A",Inputs_Actuals!G135,G12-G13)</f>
        <v>0.099</v>
      </c>
      <c r="H14" s="67" t="n">
        <f aca="false">IF(H$5="A",Inputs_Actuals!H135,H12-H13)</f>
        <v>0.08</v>
      </c>
      <c r="I14" s="67" t="n">
        <f aca="false">IF(I$5="A",Inputs_Actuals!I135,I12-I13)</f>
        <v>0.0815</v>
      </c>
      <c r="J14" s="67" t="n">
        <f aca="false">IF(J$5="A",Inputs_Actuals!J135,J12-J13)</f>
        <v>0.026</v>
      </c>
      <c r="K14" s="67" t="n">
        <f aca="false">IF(K$5="A",Inputs_Actuals!K135,K12-K13)</f>
        <v>0.031</v>
      </c>
      <c r="L14" s="67" t="n">
        <f aca="false">IF(L$5="A",Inputs_Actuals!L135,L12-L13)</f>
        <v>0.062</v>
      </c>
      <c r="M14" s="67" t="n">
        <f aca="false">IF(M$5="A",Inputs_Actuals!M135,M12-M13)</f>
        <v>0</v>
      </c>
      <c r="N14" s="67" t="n">
        <f aca="false">IF(N$5="A",Inputs_Actuals!N135,N12-N13)</f>
        <v>0</v>
      </c>
      <c r="O14" s="67" t="n">
        <f aca="false">IF(O$5="A",Inputs_Actuals!O135,O12-O13)</f>
        <v>0</v>
      </c>
      <c r="P14" s="67" t="n">
        <f aca="false">IF(P$5="A",Inputs_Actuals!P135,P12-P13)</f>
        <v>0</v>
      </c>
      <c r="Q14" s="67" t="n">
        <f aca="false">IF(Q$5="A",Inputs_Actuals!Q135,Q12-Q13)</f>
        <v>0</v>
      </c>
      <c r="R14" s="67" t="n">
        <f aca="false">IF(R$5="A",Inputs_Actuals!R135,R12-R13)</f>
        <v>0</v>
      </c>
      <c r="S14" s="67" t="n">
        <f aca="false">IF(S$5="A",Inputs_Actuals!S135,S12-S13)</f>
        <v>0</v>
      </c>
      <c r="T14" s="67" t="n">
        <f aca="false">IF(T$5="A",Inputs_Actuals!T135,T12-T13)</f>
        <v>0</v>
      </c>
      <c r="U14" s="67" t="n">
        <f aca="false">IF(U$5="A",Inputs_Actuals!U135,U12-U13)</f>
        <v>0</v>
      </c>
      <c r="V14" s="67" t="n">
        <f aca="false">IF(V$5="A",Inputs_Actuals!V135,V12-V13)</f>
        <v>0</v>
      </c>
      <c r="W14" s="67" t="n">
        <f aca="false">IF(W$5="A",Inputs_Actuals!W135,W12-W13)</f>
        <v>0</v>
      </c>
      <c r="X14" s="67" t="n">
        <f aca="false">IF(X$5="A",Inputs_Actuals!X135,X12-X13)</f>
        <v>0</v>
      </c>
      <c r="Y14" s="67" t="n">
        <f aca="false">IF(Y$5="A",Inputs_Actuals!Y135,Y12-Y13)</f>
        <v>0</v>
      </c>
      <c r="Z14" s="67" t="n">
        <f aca="false">IF(Z$5="A",Inputs_Actuals!Z135,Z12-Z13)</f>
        <v>0</v>
      </c>
      <c r="AA14" s="67" t="n">
        <f aca="false">IF(AA$5="A",Inputs_Actuals!AA135,AA12-AA13)</f>
        <v>0</v>
      </c>
      <c r="AB14" s="67" t="n">
        <f aca="false">IF(AB$5="A",Inputs_Actuals!AB135,AB12-AB13)</f>
        <v>0</v>
      </c>
    </row>
    <row r="15" customFormat="false" ht="15" hidden="false" customHeight="false" outlineLevel="0" collapsed="false">
      <c r="A15" s="29" t="s">
        <v>1000</v>
      </c>
      <c r="B15" s="60" t="s">
        <v>1001</v>
      </c>
      <c r="C15" s="63" t="n">
        <f aca="false">IF(C9=0,0,C13/C9)</f>
        <v>0.35037989068895</v>
      </c>
      <c r="D15" s="63" t="n">
        <f aca="false">IF(D9=0,0,D13/D9)</f>
        <v>0.342032123648757</v>
      </c>
      <c r="E15" s="64" t="n">
        <f aca="false">IF(E9=0,0,E13/E9)</f>
        <v>0.25343137254902</v>
      </c>
      <c r="F15" s="64" t="n">
        <f aca="false">IF(F9=0,0,F13/F9)</f>
        <v>0.269191919191919</v>
      </c>
      <c r="G15" s="64" t="n">
        <f aca="false">IF(G9=0,0,G13/G9)</f>
        <v>0.364081996434938</v>
      </c>
      <c r="H15" s="64" t="n">
        <f aca="false">IF(H9=0,0,H13/H9)</f>
        <v>0.33989898989899</v>
      </c>
      <c r="I15" s="64" t="n">
        <f aca="false">IF(I9=0,0,I13/I9)</f>
        <v>0.432033096926714</v>
      </c>
      <c r="J15" s="64" t="n">
        <f aca="false">IF(J9=0,0,J13/J9)</f>
        <v>0.408839779005525</v>
      </c>
      <c r="K15" s="64" t="n">
        <f aca="false">IF(K9=0,0,K13/K9)</f>
        <v>0.306837606837607</v>
      </c>
      <c r="L15" s="64" t="n">
        <f aca="false">IF(L9=0,0,L13/L9)</f>
        <v>0.357456140350877</v>
      </c>
      <c r="M15" s="64" t="n">
        <f aca="false">IF(M9=0,0,M13/M9)</f>
        <v>0.363768430452612</v>
      </c>
      <c r="N15" s="64" t="n">
        <f aca="false">IF(N9=0,0,N13/N9)</f>
        <v>0.36617941693283</v>
      </c>
      <c r="O15" s="64" t="n">
        <f aca="false">IF(O9=0,0,O13/O9)</f>
        <v>0.380479083386566</v>
      </c>
      <c r="P15" s="64" t="n">
        <f aca="false">IF(P9=0,0,P13/P9)</f>
        <v>0.368683392183693</v>
      </c>
      <c r="Q15" s="64" t="n">
        <f aca="false">IF(Q9=0,0,Q13/Q9)</f>
        <v>0.359872907356034</v>
      </c>
      <c r="R15" s="64" t="n">
        <f aca="false">IF(R9=0,0,R13/R9)</f>
        <v>0.359872907356034</v>
      </c>
      <c r="S15" s="64" t="n">
        <f aca="false">IF(S9=0,0,S13/S9)</f>
        <v>0.364353703942094</v>
      </c>
      <c r="T15" s="64" t="n">
        <f aca="false">IF(T9=0,0,T13/T9)</f>
        <v>0.351081232031981</v>
      </c>
      <c r="U15" s="64" t="n">
        <f aca="false">IF(U9=0,0,U13/U9)</f>
        <v>0.351081232031981</v>
      </c>
      <c r="V15" s="64" t="n">
        <f aca="false">IF(V9=0,0,V13/V9)</f>
        <v>0.351081232031981</v>
      </c>
      <c r="W15" s="64" t="n">
        <f aca="false">IF(W9=0,0,W13/W9)</f>
        <v>0.341807434190961</v>
      </c>
      <c r="X15" s="64" t="n">
        <f aca="false">IF(X9=0,0,X13/X9)</f>
        <v>0.333584842828834</v>
      </c>
      <c r="Y15" s="64" t="n">
        <f aca="false">IF(Y9=0,0,Y13/Y9)</f>
        <v>0.333584842828834</v>
      </c>
      <c r="Z15" s="64" t="n">
        <f aca="false">IF(Z9=0,0,Z13/Z9)</f>
        <v>0.32448079658606</v>
      </c>
      <c r="AA15" s="64" t="n">
        <f aca="false">IF(AA9=0,0,AA13/AA9)</f>
        <v>0.32</v>
      </c>
      <c r="AB15" s="64" t="n">
        <f aca="false">IF(AB9=0,0,AB13/AB9)</f>
        <v>0.32</v>
      </c>
    </row>
    <row r="16" customFormat="false" ht="15" hidden="false" customHeight="false" outlineLevel="0" collapsed="false">
      <c r="A16" s="29" t="s">
        <v>1002</v>
      </c>
      <c r="B16" s="60" t="s">
        <v>989</v>
      </c>
      <c r="C16" s="66" t="n">
        <f aca="false">SUM(E16:P16)</f>
        <v>1674.47233511454</v>
      </c>
      <c r="D16" s="66" t="n">
        <f aca="false">SUM(Q16:AB16)</f>
        <v>1667.15856652026</v>
      </c>
      <c r="E16" s="67" t="n">
        <f aca="false">(People!E43)*Assumptions!E$200</f>
        <v>136</v>
      </c>
      <c r="F16" s="67" t="n">
        <f aca="false">(People!F43)*Assumptions!F$200</f>
        <v>132</v>
      </c>
      <c r="G16" s="67" t="n">
        <f aca="false">(People!G43)*Assumptions!G$200</f>
        <v>149.6</v>
      </c>
      <c r="H16" s="67" t="n">
        <f aca="false">(People!H43)*Assumptions!H$200</f>
        <v>132</v>
      </c>
      <c r="I16" s="67" t="n">
        <f aca="false">(People!I43)*Assumptions!I$200</f>
        <v>112.8</v>
      </c>
      <c r="J16" s="67" t="n">
        <f aca="false">(People!J43)*Assumptions!J$200</f>
        <v>144.8</v>
      </c>
      <c r="K16" s="67" t="n">
        <f aca="false">(People!K43)*Assumptions!K$200</f>
        <v>156</v>
      </c>
      <c r="L16" s="67" t="n">
        <f aca="false">(People!L43)*Assumptions!L$200</f>
        <v>121.6</v>
      </c>
      <c r="M16" s="67" t="n">
        <f aca="false">(People!M43)*Assumptions!M$200</f>
        <v>152.163333333333</v>
      </c>
      <c r="N16" s="67" t="n">
        <f aca="false">(People!N43)*Assumptions!N$200</f>
        <v>145.975888888889</v>
      </c>
      <c r="O16" s="67" t="n">
        <f aca="false">(People!O43)*Assumptions!O$200</f>
        <v>143.787572800926</v>
      </c>
      <c r="P16" s="67" t="n">
        <f aca="false">(People!P43)*Assumptions!P$200</f>
        <v>147.745540091387</v>
      </c>
      <c r="Q16" s="67" t="n">
        <f aca="false">(People!Q43)*Assumptions!Q$200</f>
        <v>126.417685377926</v>
      </c>
      <c r="R16" s="67" t="n">
        <f aca="false">(People!R43)*Assumptions!R$200</f>
        <v>130.370463269405</v>
      </c>
      <c r="S16" s="67" t="n">
        <f aca="false">(People!S43)*Assumptions!S$200</f>
        <v>139.851890729054</v>
      </c>
      <c r="T16" s="67" t="n">
        <f aca="false">(People!T43)*Assumptions!T$200</f>
        <v>146.172848864481</v>
      </c>
      <c r="U16" s="67" t="n">
        <f aca="false">(People!U43)*Assumptions!U$200</f>
        <v>111.40740691787</v>
      </c>
      <c r="V16" s="67" t="n">
        <f aca="false">(People!V43)*Assumptions!V$200</f>
        <v>150.913580034618</v>
      </c>
      <c r="W16" s="67" t="n">
        <f aca="false">(People!W43)*Assumptions!W$200</f>
        <v>146.172839470713</v>
      </c>
      <c r="X16" s="67" t="n">
        <f aca="false">(People!X43)*Assumptions!X$200</f>
        <v>128.000000003223</v>
      </c>
      <c r="Y16" s="67" t="n">
        <f aca="false">(People!Y43)*Assumptions!Y$200</f>
        <v>150.913580247935</v>
      </c>
      <c r="Z16" s="67" t="n">
        <f aca="false">(People!Z43)*Assumptions!Z$200</f>
        <v>137.481481481602</v>
      </c>
      <c r="AA16" s="67" t="n">
        <f aca="false">(People!AA43)*Assumptions!AA$200</f>
        <v>143.802469135783</v>
      </c>
      <c r="AB16" s="67" t="n">
        <f aca="false">(People!AB43)*Assumptions!AB$200</f>
        <v>155.654320987649</v>
      </c>
    </row>
    <row r="17" customFormat="false" ht="15" hidden="false" customHeight="false" outlineLevel="0" collapsed="false">
      <c r="A17" s="29" t="s">
        <v>1003</v>
      </c>
      <c r="B17" s="60" t="s">
        <v>991</v>
      </c>
      <c r="C17" s="66" t="n">
        <f aca="false">SUM(E17:P17)</f>
        <v>1059.7596488764</v>
      </c>
      <c r="D17" s="66" t="n">
        <f aca="false">SUM(Q17:AB17)</f>
        <v>402.894101123596</v>
      </c>
      <c r="E17" s="67" t="n">
        <f aca="false">IF(E$5="A",Inputs_Actuals!E136+Inputs_Actuals!E137,SUMPRODUCT((Engagement_Register!$C$7:$C$39="OPS")*Engagement_Register!$Z$7:$Z$39*Engagements!$E$9:$E$41))</f>
        <v>67.2595</v>
      </c>
      <c r="F17" s="67" t="n">
        <f aca="false">IF(F$5="A",Inputs_Actuals!F136+Inputs_Actuals!F137,SUMPRODUCT((Engagement_Register!$C$7:$C$39="OPS")*Engagement_Register!$Z$7:$Z$39*Engagements!$F$9:$F$41))</f>
        <v>69.445</v>
      </c>
      <c r="G17" s="67" t="n">
        <f aca="false">IF(G$5="A",Inputs_Actuals!G136+Inputs_Actuals!G137,SUMPRODUCT((Engagement_Register!$C$7:$C$39="OPS")*Engagement_Register!$Z$7:$Z$39*Engagements!$G$9:$G$41))</f>
        <v>99.971</v>
      </c>
      <c r="H17" s="67" t="n">
        <f aca="false">IF(H$5="A",Inputs_Actuals!H136+Inputs_Actuals!H137,SUMPRODUCT((Engagement_Register!$C$7:$C$39="OPS")*Engagement_Register!$Z$7:$Z$39*Engagements!$H$9:$H$41))</f>
        <v>83.588</v>
      </c>
      <c r="I17" s="67" t="n">
        <f aca="false">IF(I$5="A",Inputs_Actuals!I136+Inputs_Actuals!I137,SUMPRODUCT((Engagement_Register!$C$7:$C$39="OPS")*Engagement_Register!$Z$7:$Z$39*Engagements!$I$9:$I$41))</f>
        <v>94.5315</v>
      </c>
      <c r="J17" s="67" t="n">
        <f aca="false">IF(J$5="A",Inputs_Actuals!J136+Inputs_Actuals!J137,SUMPRODUCT((Engagement_Register!$C$7:$C$39="OPS")*Engagement_Register!$Z$7:$Z$39*Engagements!$J$9:$J$41))</f>
        <v>116.898</v>
      </c>
      <c r="K17" s="67" t="n">
        <f aca="false">IF(K$5="A",Inputs_Actuals!K136+Inputs_Actuals!K137,SUMPRODUCT((Engagement_Register!$C$7:$C$39="OPS")*Engagement_Register!$Z$7:$Z$39*Engagements!$K$9:$K$41))</f>
        <v>90.355</v>
      </c>
      <c r="L17" s="67" t="n">
        <f aca="false">IF(L$5="A",Inputs_Actuals!L136+Inputs_Actuals!L137,SUMPRODUCT((Engagement_Register!$C$7:$C$39="OPS")*Engagement_Register!$Z$7:$Z$39*Engagements!$L$9:$L$41))</f>
        <v>79.622</v>
      </c>
      <c r="M17" s="67" t="n">
        <f aca="false">IF(M$5="A",Inputs_Actuals!M136+Inputs_Actuals!M137,SUMPRODUCT((Engagement_Register!$C$7:$C$39="OPS")*Engagement_Register!$Z$7:$Z$39*Engagements!$M$9:$M$41))</f>
        <v>107.926199522515</v>
      </c>
      <c r="N17" s="67" t="n">
        <f aca="false">IF(N$5="A",Inputs_Actuals!N136+Inputs_Actuals!N137,SUMPRODUCT((Engagement_Register!$C$7:$C$39="OPS")*Engagement_Register!$Z$7:$Z$39*Engagements!$N$9:$N$41))</f>
        <v>97.0381296480403</v>
      </c>
      <c r="O17" s="67" t="n">
        <f aca="false">IF(O$5="A",Inputs_Actuals!O136+Inputs_Actuals!O137,SUMPRODUCT((Engagement_Register!$C$7:$C$39="OPS")*Engagement_Register!$Z$7:$Z$39*Engagements!$O$9:$O$41))</f>
        <v>82.0529417692572</v>
      </c>
      <c r="P17" s="67" t="n">
        <f aca="false">IF(P$5="A",Inputs_Actuals!P136+Inputs_Actuals!P137,SUMPRODUCT((Engagement_Register!$C$7:$C$39="OPS")*Engagement_Register!$Z$7:$Z$39*Engagements!$P$9:$P$41))</f>
        <v>71.0723779365919</v>
      </c>
      <c r="Q17" s="67" t="n">
        <f aca="false">IF(Q$5="A",Inputs_Actuals!Q136+Inputs_Actuals!Q137,SUMPRODUCT((Engagement_Register!$C$7:$C$39="OPS")*Engagement_Register!$Z$7:$Z$39*Engagements!$Q$9:$Q$41))</f>
        <v>55.2904315337002</v>
      </c>
      <c r="R17" s="67" t="n">
        <f aca="false">IF(R$5="A",Inputs_Actuals!R136+Inputs_Actuals!R137,SUMPRODUCT((Engagement_Register!$C$7:$C$39="OPS")*Engagement_Register!$Z$7:$Z$39*Engagements!$R$9:$R$41))</f>
        <v>57.0182575191283</v>
      </c>
      <c r="S17" s="67" t="n">
        <f aca="false">IF(S$5="A",Inputs_Actuals!S136+Inputs_Actuals!S137,SUMPRODUCT((Engagement_Register!$C$7:$C$39="OPS")*Engagement_Register!$Z$7:$Z$39*Engagements!$S$9:$S$41))</f>
        <v>68.0385818471715</v>
      </c>
      <c r="T17" s="67" t="n">
        <f aca="false">IF(T$5="A",Inputs_Actuals!T136+Inputs_Actuals!T137,SUMPRODUCT((Engagement_Register!$C$7:$C$39="OPS")*Engagement_Register!$Z$7:$Z$39*Engagements!$T$9:$T$41))</f>
        <v>49.8335753579431</v>
      </c>
      <c r="U17" s="67" t="n">
        <f aca="false">IF(U$5="A",Inputs_Actuals!U136+Inputs_Actuals!U137,SUMPRODUCT((Engagement_Register!$C$7:$C$39="OPS")*Engagement_Register!$Z$7:$Z$39*Engagements!$U$9:$U$41))</f>
        <v>37.981265543081</v>
      </c>
      <c r="V17" s="67" t="n">
        <f aca="false">IF(V$5="A",Inputs_Actuals!V136+Inputs_Actuals!V137,SUMPRODUCT((Engagement_Register!$C$7:$C$39="OPS")*Engagement_Register!$Z$7:$Z$39*Engagements!$V$9:$V$41))</f>
        <v>51.4497994236062</v>
      </c>
      <c r="W17" s="67" t="n">
        <f aca="false">IF(W$5="A",Inputs_Actuals!W136+Inputs_Actuals!W137,SUMPRODUCT((Engagement_Register!$C$7:$C$39="OPS")*Engagement_Register!$Z$7:$Z$39*Engagements!$W$9:$W$41))</f>
        <v>34.9645861528401</v>
      </c>
      <c r="X17" s="67" t="n">
        <f aca="false">IF(X$5="A",Inputs_Actuals!X136+Inputs_Actuals!X137,SUMPRODUCT((Engagement_Register!$C$7:$C$39="OPS")*Engagement_Register!$Z$7:$Z$39*Engagements!$X$9:$X$41))</f>
        <v>19.0731193316834</v>
      </c>
      <c r="Y17" s="67" t="n">
        <f aca="false">IF(Y$5="A",Inputs_Actuals!Y136+Inputs_Actuals!Y137,SUMPRODUCT((Engagement_Register!$C$7:$C$39="OPS")*Engagement_Register!$Z$7:$Z$39*Engagements!$Y$9:$Y$41))</f>
        <v>22.4874431626637</v>
      </c>
      <c r="Z17" s="67" t="n">
        <f aca="false">IF(Z$5="A",Inputs_Actuals!Z136+Inputs_Actuals!Z137,SUMPRODUCT((Engagement_Register!$C$7:$C$39="OPS")*Engagement_Register!$Z$7:$Z$39*Engagements!$Z$9:$Z$41))</f>
        <v>6.75704125177809</v>
      </c>
      <c r="AA17" s="67" t="n">
        <f aca="false">IF(AA$5="A",Inputs_Actuals!AA136+Inputs_Actuals!AA137,SUMPRODUCT((Engagement_Register!$C$7:$C$39="OPS")*Engagement_Register!$Z$7:$Z$39*Engagements!$AA$9:$AA$41))</f>
        <v>0</v>
      </c>
      <c r="AB17" s="67" t="n">
        <f aca="false">IF(AB$5="A",Inputs_Actuals!AB136+Inputs_Actuals!AB137,SUMPRODUCT((Engagement_Register!$C$7:$C$39="OPS")*Engagement_Register!$Z$7:$Z$39*Engagements!$AB$9:$AB$41))</f>
        <v>0</v>
      </c>
    </row>
    <row r="18" customFormat="false" ht="15" hidden="false" customHeight="false" outlineLevel="0" collapsed="false">
      <c r="A18" s="29" t="s">
        <v>1004</v>
      </c>
      <c r="B18" s="60" t="s">
        <v>993</v>
      </c>
      <c r="C18" s="66" t="n">
        <f aca="false">SUM(E18:P18)</f>
        <v>17.4356384236309</v>
      </c>
      <c r="D18" s="66" t="n">
        <f aca="false">SUM(Q18:AB18)</f>
        <v>477.920831030848</v>
      </c>
      <c r="E18" s="72" t="n">
        <f aca="false">0</f>
        <v>0</v>
      </c>
      <c r="F18" s="72" t="n">
        <f aca="false">0</f>
        <v>0</v>
      </c>
      <c r="G18" s="72" t="n">
        <f aca="false">0</f>
        <v>0</v>
      </c>
      <c r="H18" s="72" t="n">
        <f aca="false">0</f>
        <v>0</v>
      </c>
      <c r="I18" s="72" t="n">
        <f aca="false">0</f>
        <v>0</v>
      </c>
      <c r="J18" s="72" t="n">
        <f aca="false">0</f>
        <v>0</v>
      </c>
      <c r="K18" s="72" t="n">
        <f aca="false">0</f>
        <v>0</v>
      </c>
      <c r="L18" s="72" t="n">
        <f aca="false">0</f>
        <v>0</v>
      </c>
      <c r="M18" s="67" t="n">
        <f aca="false">IF(Assumptions!M$186&gt;=Assumptions!$C$152,MAX(0,Assumptions!$F$65*M16-M17)*Assumptions!$F$168,0)</f>
        <v>0</v>
      </c>
      <c r="N18" s="67" t="n">
        <f aca="false">IF(Assumptions!N$186&gt;=Assumptions!$C$152,MAX(0,Assumptions!$F$65*N16-N17)*Assumptions!$F$168,0)</f>
        <v>0</v>
      </c>
      <c r="O18" s="67" t="n">
        <f aca="false">IF(Assumptions!O$186&gt;=Assumptions!$C$152,MAX(0,Assumptions!$F$65*O16-O17)*Assumptions!$F$168,0)</f>
        <v>3.37568152903865</v>
      </c>
      <c r="P18" s="67" t="n">
        <f aca="false">IF(Assumptions!P$186&gt;=Assumptions!$C$152,MAX(0,Assumptions!$F$65*P16-P17)*Assumptions!$F$168,0)</f>
        <v>14.0599568945923</v>
      </c>
      <c r="Q18" s="67" t="n">
        <f aca="false">IF(Assumptions!Q$186&gt;=Assumptions!$C$152,MAX(0,Assumptions!$F$65*Q16-Q17)*Assumptions!$F$168,0)</f>
        <v>16.4481437544442</v>
      </c>
      <c r="R18" s="67" t="n">
        <f aca="false">IF(Assumptions!R$186&gt;=Assumptions!$C$152,MAX(0,Assumptions!$F$65*R16-R17)*Assumptions!$F$168,0)</f>
        <v>16.9632163540119</v>
      </c>
      <c r="S18" s="67" t="n">
        <f aca="false">IF(Assumptions!S$186&gt;=Assumptions!$C$152,MAX(0,Assumptions!$F$65*S16-S17)*Assumptions!$F$168,0)</f>
        <v>12.6980420722089</v>
      </c>
      <c r="T18" s="67" t="n">
        <f aca="false">IF(Assumptions!T$186&gt;=Assumptions!$C$152,MAX(0,Assumptions!$F$65*T16-T17)*Assumptions!$F$168,0)</f>
        <v>30.2961071685966</v>
      </c>
      <c r="U18" s="67" t="n">
        <f aca="false">IF(Assumptions!U$186&gt;=Assumptions!$C$152,MAX(0,Assumptions!$F$65*U16-U17)*Assumptions!$F$168,0)</f>
        <v>23.0905428861128</v>
      </c>
      <c r="V18" s="67" t="n">
        <f aca="false">IF(Assumptions!V$186&gt;=Assumptions!$C$152,MAX(0,Assumptions!$F$65*V16-V17)*Assumptions!$F$168,0)</f>
        <v>31.2786788777317</v>
      </c>
      <c r="W18" s="67" t="n">
        <f aca="false">IF(Assumptions!W$186&gt;=Assumptions!$C$152,MAX(0,Assumptions!$F$65*W16-W17)*Assumptions!$F$168,0)</f>
        <v>42.1912940236701</v>
      </c>
      <c r="X18" s="67" t="n">
        <f aca="false">IF(Assumptions!X$186&gt;=Assumptions!$C$152,MAX(0,Assumptions!$F$65*X16-X17)*Assumptions!$F$168,0)</f>
        <v>46.1815045362004</v>
      </c>
      <c r="Y18" s="67" t="n">
        <f aca="false">IF(Assumptions!Y$186&gt;=Assumptions!$C$152,MAX(0,Assumptions!$F$65*Y16-Y17)*Assumptions!$F$168,0)</f>
        <v>54.4485639888777</v>
      </c>
      <c r="Z18" s="67" t="n">
        <f aca="false">IF(Assumptions!Z$186&gt;=Assumptions!$C$152,MAX(0,Assumptions!$F$65*Z16-Z17)*Assumptions!$F$168,0)</f>
        <v>60.5854781097465</v>
      </c>
      <c r="AA18" s="67" t="n">
        <f aca="false">IF(Assumptions!AA$186&gt;=Assumptions!$C$152,MAX(0,Assumptions!$F$65*AA16-AA17)*Assumptions!$F$168,0)</f>
        <v>69.0251851851757</v>
      </c>
      <c r="AB18" s="67" t="n">
        <f aca="false">IF(Assumptions!AB$186&gt;=Assumptions!$C$152,MAX(0,Assumptions!$F$65*AB16-AB17)*Assumptions!$F$168,0)</f>
        <v>74.7140740740717</v>
      </c>
    </row>
    <row r="19" customFormat="false" ht="15" hidden="false" customHeight="false" outlineLevel="0" collapsed="false">
      <c r="A19" s="29" t="s">
        <v>1005</v>
      </c>
      <c r="B19" s="60" t="s">
        <v>995</v>
      </c>
      <c r="C19" s="66" t="n">
        <f aca="false">SUM(E19:P19)</f>
        <v>1077.19528730004</v>
      </c>
      <c r="D19" s="66" t="n">
        <f aca="false">SUM(Q19:AB19)</f>
        <v>880.814932154444</v>
      </c>
      <c r="E19" s="72" t="n">
        <f aca="false">E17+E18</f>
        <v>67.2595</v>
      </c>
      <c r="F19" s="72" t="n">
        <f aca="false">F17+F18</f>
        <v>69.445</v>
      </c>
      <c r="G19" s="72" t="n">
        <f aca="false">G17+G18</f>
        <v>99.971</v>
      </c>
      <c r="H19" s="72" t="n">
        <f aca="false">H17+H18</f>
        <v>83.588</v>
      </c>
      <c r="I19" s="72" t="n">
        <f aca="false">I17+I18</f>
        <v>94.5315</v>
      </c>
      <c r="J19" s="72" t="n">
        <f aca="false">J17+J18</f>
        <v>116.898</v>
      </c>
      <c r="K19" s="72" t="n">
        <f aca="false">K17+K18</f>
        <v>90.355</v>
      </c>
      <c r="L19" s="72" t="n">
        <f aca="false">L17+L18</f>
        <v>79.622</v>
      </c>
      <c r="M19" s="72" t="n">
        <f aca="false">M17+M18</f>
        <v>107.926199522515</v>
      </c>
      <c r="N19" s="72" t="n">
        <f aca="false">N17+N18</f>
        <v>97.0381296480403</v>
      </c>
      <c r="O19" s="72" t="n">
        <f aca="false">O17+O18</f>
        <v>85.4286232982959</v>
      </c>
      <c r="P19" s="72" t="n">
        <f aca="false">P17+P18</f>
        <v>85.1323348311841</v>
      </c>
      <c r="Q19" s="72" t="n">
        <f aca="false">Q17+Q18</f>
        <v>71.7385752881444</v>
      </c>
      <c r="R19" s="72" t="n">
        <f aca="false">R17+R18</f>
        <v>73.9814738731402</v>
      </c>
      <c r="S19" s="72" t="n">
        <f aca="false">S17+S18</f>
        <v>80.7366239193804</v>
      </c>
      <c r="T19" s="72" t="n">
        <f aca="false">T17+T18</f>
        <v>80.1296825265397</v>
      </c>
      <c r="U19" s="72" t="n">
        <f aca="false">U17+U18</f>
        <v>61.0718084291938</v>
      </c>
      <c r="V19" s="72" t="n">
        <f aca="false">V17+V18</f>
        <v>82.7284783013379</v>
      </c>
      <c r="W19" s="72" t="n">
        <f aca="false">W17+W18</f>
        <v>77.1558801765102</v>
      </c>
      <c r="X19" s="72" t="n">
        <f aca="false">X17+X18</f>
        <v>65.2546238678838</v>
      </c>
      <c r="Y19" s="72" t="n">
        <f aca="false">Y17+Y18</f>
        <v>76.9360071515415</v>
      </c>
      <c r="Z19" s="72" t="n">
        <f aca="false">Z17+Z18</f>
        <v>67.3425193615246</v>
      </c>
      <c r="AA19" s="72" t="n">
        <f aca="false">AA17+AA18</f>
        <v>69.0251851851757</v>
      </c>
      <c r="AB19" s="72" t="n">
        <f aca="false">AB17+AB18</f>
        <v>74.7140740740717</v>
      </c>
    </row>
    <row r="20" customFormat="false" ht="15" hidden="false" customHeight="false" outlineLevel="0" collapsed="false">
      <c r="A20" s="29" t="s">
        <v>1006</v>
      </c>
      <c r="B20" s="60" t="s">
        <v>997</v>
      </c>
      <c r="C20" s="66" t="n">
        <f aca="false">SUM(E20:P20)</f>
        <v>1076.72528730004</v>
      </c>
      <c r="D20" s="66" t="n">
        <f aca="false">SUM(Q20:AB20)</f>
        <v>880.814932154444</v>
      </c>
      <c r="E20" s="67" t="n">
        <f aca="false">IF(E$5="A",Inputs_Actuals!E136,MIN(E19,E16*Assumptions!$C$83))</f>
        <v>67.2</v>
      </c>
      <c r="F20" s="67" t="n">
        <f aca="false">IF(F$5="A",Inputs_Actuals!F136,MIN(F19,F16*Assumptions!$C$83))</f>
        <v>69.4</v>
      </c>
      <c r="G20" s="67" t="n">
        <f aca="false">IF(G$5="A",Inputs_Actuals!G136,MIN(G19,G16*Assumptions!$C$83))</f>
        <v>99.9</v>
      </c>
      <c r="H20" s="67" t="n">
        <f aca="false">IF(H$5="A",Inputs_Actuals!H136,MIN(H19,H16*Assumptions!$C$83))</f>
        <v>83.5</v>
      </c>
      <c r="I20" s="67" t="n">
        <f aca="false">IF(I$5="A",Inputs_Actuals!I136,MIN(I19,I16*Assumptions!$C$83))</f>
        <v>94.5</v>
      </c>
      <c r="J20" s="67" t="n">
        <f aca="false">IF(J$5="A",Inputs_Actuals!J136,MIN(J19,J16*Assumptions!$C$83))</f>
        <v>116.8</v>
      </c>
      <c r="K20" s="67" t="n">
        <f aca="false">IF(K$5="A",Inputs_Actuals!K136,MIN(K19,K16*Assumptions!$C$83))</f>
        <v>90.3</v>
      </c>
      <c r="L20" s="67" t="n">
        <f aca="false">IF(L$5="A",Inputs_Actuals!L136,MIN(L19,L16*Assumptions!$C$83))</f>
        <v>79.6</v>
      </c>
      <c r="M20" s="67" t="n">
        <f aca="false">IF(M$5="A",Inputs_Actuals!M136,MIN(M19,M16*Assumptions!$C$83))</f>
        <v>107.926199522515</v>
      </c>
      <c r="N20" s="67" t="n">
        <f aca="false">IF(N$5="A",Inputs_Actuals!N136,MIN(N19,N16*Assumptions!$C$83))</f>
        <v>97.0381296480403</v>
      </c>
      <c r="O20" s="67" t="n">
        <f aca="false">IF(O$5="A",Inputs_Actuals!O136,MIN(O19,O16*Assumptions!$C$83))</f>
        <v>85.4286232982959</v>
      </c>
      <c r="P20" s="67" t="n">
        <f aca="false">IF(P$5="A",Inputs_Actuals!P136,MIN(P19,P16*Assumptions!$C$83))</f>
        <v>85.1323348311841</v>
      </c>
      <c r="Q20" s="67" t="n">
        <f aca="false">IF(Q$5="A",Inputs_Actuals!Q136,MIN(Q19,Q16*Assumptions!$C$83))</f>
        <v>71.7385752881444</v>
      </c>
      <c r="R20" s="67" t="n">
        <f aca="false">IF(R$5="A",Inputs_Actuals!R136,MIN(R19,R16*Assumptions!$C$83))</f>
        <v>73.9814738731402</v>
      </c>
      <c r="S20" s="67" t="n">
        <f aca="false">IF(S$5="A",Inputs_Actuals!S136,MIN(S19,S16*Assumptions!$C$83))</f>
        <v>80.7366239193804</v>
      </c>
      <c r="T20" s="67" t="n">
        <f aca="false">IF(T$5="A",Inputs_Actuals!T136,MIN(T19,T16*Assumptions!$C$83))</f>
        <v>80.1296825265397</v>
      </c>
      <c r="U20" s="67" t="n">
        <f aca="false">IF(U$5="A",Inputs_Actuals!U136,MIN(U19,U16*Assumptions!$C$83))</f>
        <v>61.0718084291938</v>
      </c>
      <c r="V20" s="67" t="n">
        <f aca="false">IF(V$5="A",Inputs_Actuals!V136,MIN(V19,V16*Assumptions!$C$83))</f>
        <v>82.7284783013379</v>
      </c>
      <c r="W20" s="67" t="n">
        <f aca="false">IF(W$5="A",Inputs_Actuals!W136,MIN(W19,W16*Assumptions!$C$83))</f>
        <v>77.1558801765102</v>
      </c>
      <c r="X20" s="67" t="n">
        <f aca="false">IF(X$5="A",Inputs_Actuals!X136,MIN(X19,X16*Assumptions!$C$83))</f>
        <v>65.2546238678838</v>
      </c>
      <c r="Y20" s="67" t="n">
        <f aca="false">IF(Y$5="A",Inputs_Actuals!Y136,MIN(Y19,Y16*Assumptions!$C$83))</f>
        <v>76.9360071515415</v>
      </c>
      <c r="Z20" s="67" t="n">
        <f aca="false">IF(Z$5="A",Inputs_Actuals!Z136,MIN(Z19,Z16*Assumptions!$C$83))</f>
        <v>67.3425193615246</v>
      </c>
      <c r="AA20" s="67" t="n">
        <f aca="false">IF(AA$5="A",Inputs_Actuals!AA136,MIN(AA19,AA16*Assumptions!$C$83))</f>
        <v>69.0251851851757</v>
      </c>
      <c r="AB20" s="67" t="n">
        <f aca="false">IF(AB$5="A",Inputs_Actuals!AB136,MIN(AB19,AB16*Assumptions!$C$83))</f>
        <v>74.7140740740717</v>
      </c>
    </row>
    <row r="21" customFormat="false" ht="15" hidden="false" customHeight="false" outlineLevel="0" collapsed="false">
      <c r="A21" s="29" t="s">
        <v>1007</v>
      </c>
      <c r="B21" s="60" t="s">
        <v>999</v>
      </c>
      <c r="C21" s="66" t="n">
        <f aca="false">SUM(E21:P21)</f>
        <v>0.47</v>
      </c>
      <c r="D21" s="66" t="n">
        <f aca="false">SUM(Q21:AB21)</f>
        <v>0</v>
      </c>
      <c r="E21" s="67" t="n">
        <f aca="false">IF(E$5="A",Inputs_Actuals!E137,E19-E20)</f>
        <v>0.0595</v>
      </c>
      <c r="F21" s="67" t="n">
        <f aca="false">IF(F$5="A",Inputs_Actuals!F137,F19-F20)</f>
        <v>0.045</v>
      </c>
      <c r="G21" s="67" t="n">
        <f aca="false">IF(G$5="A",Inputs_Actuals!G137,G19-G20)</f>
        <v>0.071</v>
      </c>
      <c r="H21" s="67" t="n">
        <f aca="false">IF(H$5="A",Inputs_Actuals!H137,H19-H20)</f>
        <v>0.088</v>
      </c>
      <c r="I21" s="67" t="n">
        <f aca="false">IF(I$5="A",Inputs_Actuals!I137,I19-I20)</f>
        <v>0.0315</v>
      </c>
      <c r="J21" s="67" t="n">
        <f aca="false">IF(J$5="A",Inputs_Actuals!J137,J19-J20)</f>
        <v>0.098</v>
      </c>
      <c r="K21" s="67" t="n">
        <f aca="false">IF(K$5="A",Inputs_Actuals!K137,K19-K20)</f>
        <v>0.055</v>
      </c>
      <c r="L21" s="67" t="n">
        <f aca="false">IF(L$5="A",Inputs_Actuals!L137,L19-L20)</f>
        <v>0.022</v>
      </c>
      <c r="M21" s="67" t="n">
        <f aca="false">IF(M$5="A",Inputs_Actuals!M137,M19-M20)</f>
        <v>0</v>
      </c>
      <c r="N21" s="67" t="n">
        <f aca="false">IF(N$5="A",Inputs_Actuals!N137,N19-N20)</f>
        <v>0</v>
      </c>
      <c r="O21" s="67" t="n">
        <f aca="false">IF(O$5="A",Inputs_Actuals!O137,O19-O20)</f>
        <v>0</v>
      </c>
      <c r="P21" s="67" t="n">
        <f aca="false">IF(P$5="A",Inputs_Actuals!P137,P19-P20)</f>
        <v>0</v>
      </c>
      <c r="Q21" s="67" t="n">
        <f aca="false">IF(Q$5="A",Inputs_Actuals!Q137,Q19-Q20)</f>
        <v>0</v>
      </c>
      <c r="R21" s="67" t="n">
        <f aca="false">IF(R$5="A",Inputs_Actuals!R137,R19-R20)</f>
        <v>0</v>
      </c>
      <c r="S21" s="67" t="n">
        <f aca="false">IF(S$5="A",Inputs_Actuals!S137,S19-S20)</f>
        <v>0</v>
      </c>
      <c r="T21" s="67" t="n">
        <f aca="false">IF(T$5="A",Inputs_Actuals!T137,T19-T20)</f>
        <v>0</v>
      </c>
      <c r="U21" s="67" t="n">
        <f aca="false">IF(U$5="A",Inputs_Actuals!U137,U19-U20)</f>
        <v>0</v>
      </c>
      <c r="V21" s="67" t="n">
        <f aca="false">IF(V$5="A",Inputs_Actuals!V137,V19-V20)</f>
        <v>0</v>
      </c>
      <c r="W21" s="67" t="n">
        <f aca="false">IF(W$5="A",Inputs_Actuals!W137,W19-W20)</f>
        <v>0</v>
      </c>
      <c r="X21" s="67" t="n">
        <f aca="false">IF(X$5="A",Inputs_Actuals!X137,X19-X20)</f>
        <v>0</v>
      </c>
      <c r="Y21" s="67" t="n">
        <f aca="false">IF(Y$5="A",Inputs_Actuals!Y137,Y19-Y20)</f>
        <v>0</v>
      </c>
      <c r="Z21" s="67" t="n">
        <f aca="false">IF(Z$5="A",Inputs_Actuals!Z137,Z19-Z20)</f>
        <v>0</v>
      </c>
      <c r="AA21" s="67" t="n">
        <f aca="false">IF(AA$5="A",Inputs_Actuals!AA137,AA19-AA20)</f>
        <v>0</v>
      </c>
      <c r="AB21" s="67" t="n">
        <f aca="false">IF(AB$5="A",Inputs_Actuals!AB137,AB19-AB20)</f>
        <v>0</v>
      </c>
    </row>
    <row r="22" customFormat="false" ht="15" hidden="false" customHeight="false" outlineLevel="0" collapsed="false">
      <c r="A22" s="29" t="s">
        <v>1008</v>
      </c>
      <c r="B22" s="60" t="s">
        <v>1001</v>
      </c>
      <c r="C22" s="63" t="n">
        <f aca="false">IF(C16=0,0,C20/C16)</f>
        <v>0.643023634801579</v>
      </c>
      <c r="D22" s="63" t="n">
        <f aca="false">IF(D16=0,0,D20/D16)</f>
        <v>0.52833302712945</v>
      </c>
      <c r="E22" s="64" t="n">
        <f aca="false">IF(E16=0,0,E20/E16)</f>
        <v>0.494117647058824</v>
      </c>
      <c r="F22" s="64" t="n">
        <f aca="false">IF(F16=0,0,F20/F16)</f>
        <v>0.525757575757576</v>
      </c>
      <c r="G22" s="64" t="n">
        <f aca="false">IF(G16=0,0,G20/G16)</f>
        <v>0.667780748663102</v>
      </c>
      <c r="H22" s="64" t="n">
        <f aca="false">IF(H16=0,0,H20/H16)</f>
        <v>0.632575757575758</v>
      </c>
      <c r="I22" s="64" t="n">
        <f aca="false">IF(I16=0,0,I20/I16)</f>
        <v>0.837765957446809</v>
      </c>
      <c r="J22" s="64" t="n">
        <f aca="false">IF(J16=0,0,J20/J16)</f>
        <v>0.806629834254144</v>
      </c>
      <c r="K22" s="64" t="n">
        <f aca="false">IF(K16=0,0,K20/K16)</f>
        <v>0.578846153846154</v>
      </c>
      <c r="L22" s="64" t="n">
        <f aca="false">IF(L16=0,0,L20/L16)</f>
        <v>0.654605263157895</v>
      </c>
      <c r="M22" s="64" t="n">
        <f aca="false">IF(M16=0,0,M20/M16)</f>
        <v>0.709278622899834</v>
      </c>
      <c r="N22" s="64" t="n">
        <f aca="false">IF(N16=0,0,N20/N16)</f>
        <v>0.664754504231188</v>
      </c>
      <c r="O22" s="64" t="n">
        <f aca="false">IF(O16=0,0,O20/O16)</f>
        <v>0.594130783587062</v>
      </c>
      <c r="P22" s="64" t="n">
        <f aca="false">IF(P16=0,0,P20/P16)</f>
        <v>0.576209168672883</v>
      </c>
      <c r="Q22" s="64" t="n">
        <f aca="false">IF(Q16=0,0,Q20/Q16)</f>
        <v>0.567472621205505</v>
      </c>
      <c r="R22" s="64" t="n">
        <f aca="false">IF(R16=0,0,R20/R16)</f>
        <v>0.567471128182313</v>
      </c>
      <c r="S22" s="64" t="n">
        <f aca="false">IF(S16=0,0,S20/S16)</f>
        <v>0.577300910974436</v>
      </c>
      <c r="T22" s="64" t="n">
        <f aca="false">IF(T16=0,0,T20/T16)</f>
        <v>0.548184448404839</v>
      </c>
      <c r="U22" s="64" t="n">
        <f aca="false">IF(U16=0,0,U20/U16)</f>
        <v>0.548184453069769</v>
      </c>
      <c r="V22" s="64" t="n">
        <f aca="false">IF(V16=0,0,V20/V16)</f>
        <v>0.548184452866076</v>
      </c>
      <c r="W22" s="64" t="n">
        <f aca="false">IF(W16=0,0,W20/W16)</f>
        <v>0.527840058768025</v>
      </c>
      <c r="X22" s="64" t="n">
        <f aca="false">IF(X16=0,0,X20/X16)</f>
        <v>0.509801748955005</v>
      </c>
      <c r="Y22" s="64" t="n">
        <f aca="false">IF(Y16=0,0,Y20/Y16)</f>
        <v>0.509801748955554</v>
      </c>
      <c r="Z22" s="64" t="n">
        <f aca="false">IF(Z16=0,0,Z20/Z16)</f>
        <v>0.48982974751066</v>
      </c>
      <c r="AA22" s="64" t="n">
        <f aca="false">IF(AA16=0,0,AA20/AA16)</f>
        <v>0.48</v>
      </c>
      <c r="AB22" s="64" t="n">
        <f aca="false">IF(AB16=0,0,AB20/AB16)</f>
        <v>0.48</v>
      </c>
    </row>
    <row r="23" customFormat="false" ht="15" hidden="false" customHeight="false" outlineLevel="0" collapsed="false">
      <c r="A23" s="29" t="s">
        <v>1009</v>
      </c>
      <c r="B23" s="60" t="s">
        <v>989</v>
      </c>
      <c r="C23" s="66" t="n">
        <f aca="false">SUM(E23:P23)</f>
        <v>5006.98737716435</v>
      </c>
      <c r="D23" s="66" t="n">
        <f aca="false">SUM(Q23:AB23)</f>
        <v>5767.01032310566</v>
      </c>
      <c r="E23" s="67" t="n">
        <f aca="false">(People!E46)*Assumptions!E$200</f>
        <v>408</v>
      </c>
      <c r="F23" s="67" t="n">
        <f aca="false">(People!F46)*Assumptions!F$200</f>
        <v>396</v>
      </c>
      <c r="G23" s="67" t="n">
        <f aca="false">(People!G46)*Assumptions!G$200</f>
        <v>448.8</v>
      </c>
      <c r="H23" s="67" t="n">
        <f aca="false">(People!H46)*Assumptions!H$200</f>
        <v>396</v>
      </c>
      <c r="I23" s="67" t="n">
        <f aca="false">(People!I46)*Assumptions!I$200</f>
        <v>338.4</v>
      </c>
      <c r="J23" s="67" t="n">
        <f aca="false">(People!J46)*Assumptions!J$200</f>
        <v>434.4</v>
      </c>
      <c r="K23" s="67" t="n">
        <f aca="false">(People!K46)*Assumptions!K$200</f>
        <v>468</v>
      </c>
      <c r="L23" s="67" t="n">
        <f aca="false">(People!L46)*Assumptions!L$200</f>
        <v>364.8</v>
      </c>
      <c r="M23" s="67" t="n">
        <f aca="false">(People!M46)*Assumptions!M$200</f>
        <v>454.58</v>
      </c>
      <c r="N23" s="67" t="n">
        <f aca="false">(People!N46)*Assumptions!N$200</f>
        <v>434.270666666667</v>
      </c>
      <c r="O23" s="67" t="n">
        <f aca="false">(People!O46)*Assumptions!O$200</f>
        <v>425.970747222222</v>
      </c>
      <c r="P23" s="67" t="n">
        <f aca="false">(People!P46)*Assumptions!P$200</f>
        <v>437.765963275463</v>
      </c>
      <c r="Q23" s="67" t="n">
        <f aca="false">(People!Q46)*Assumptions!Q$200</f>
        <v>438.611120354938</v>
      </c>
      <c r="R23" s="67" t="n">
        <f aca="false">(People!R46)*Assumptions!R$200</f>
        <v>451.793632717147</v>
      </c>
      <c r="S23" s="67" t="n">
        <f aca="false">(People!S46)*Assumptions!S$200</f>
        <v>484.064825649432</v>
      </c>
      <c r="T23" s="67" t="n">
        <f aca="false">(People!T46)*Assumptions!T$200</f>
        <v>505.336299441364</v>
      </c>
      <c r="U23" s="67" t="n">
        <f aca="false">(People!U46)*Assumptions!U$200</f>
        <v>385.159688628019</v>
      </c>
      <c r="V23" s="67" t="n">
        <f aca="false">(People!V46)*Assumptions!V$200</f>
        <v>521.751506980813</v>
      </c>
      <c r="W23" s="67" t="n">
        <f aca="false">(People!W46)*Assumptions!W$200</f>
        <v>505.36625773968</v>
      </c>
      <c r="X23" s="67" t="n">
        <f aca="false">(People!X46)*Assumptions!X$200</f>
        <v>442.536720595273</v>
      </c>
      <c r="Y23" s="67" t="n">
        <f aca="false">(People!Y46)*Assumptions!Y$200</f>
        <v>521.756131010613</v>
      </c>
      <c r="Z23" s="67" t="n">
        <f aca="false">(People!Z46)*Assumptions!Z$200</f>
        <v>475.317068539285</v>
      </c>
      <c r="AA23" s="67" t="n">
        <f aca="false">(People!AA46)*Assumptions!AA$200</f>
        <v>497.170730216038</v>
      </c>
      <c r="AB23" s="67" t="n">
        <f aca="false">(People!AB46)*Assumptions!AB$200</f>
        <v>538.14634123306</v>
      </c>
    </row>
    <row r="24" customFormat="false" ht="15" hidden="false" customHeight="false" outlineLevel="0" collapsed="false">
      <c r="A24" s="29" t="s">
        <v>1010</v>
      </c>
      <c r="B24" s="60" t="s">
        <v>991</v>
      </c>
      <c r="C24" s="66" t="n">
        <f aca="false">SUM(E24:P24)</f>
        <v>2800.77675842697</v>
      </c>
      <c r="D24" s="66" t="n">
        <f aca="false">SUM(Q24:AB24)</f>
        <v>1115.70674157303</v>
      </c>
      <c r="E24" s="67" t="n">
        <f aca="false">IF(E$5="A",Inputs_Actuals!E138+Inputs_Actuals!E139,SUMPRODUCT((Engagement_Register!$C$7:$C$39="OPS")*Engagement_Register!$AA$7:$AA$39*Engagements!$E$9:$E$41))</f>
        <v>179.634</v>
      </c>
      <c r="F24" s="67" t="n">
        <f aca="false">IF(F$5="A",Inputs_Actuals!F138+Inputs_Actuals!F139,SUMPRODUCT((Engagement_Register!$C$7:$C$39="OPS")*Engagement_Register!$AA$7:$AA$39*Engagements!$F$9:$F$41))</f>
        <v>185.601</v>
      </c>
      <c r="G24" s="67" t="n">
        <f aca="false">IF(G$5="A",Inputs_Actuals!G138+Inputs_Actuals!G139,SUMPRODUCT((Engagement_Register!$C$7:$C$39="OPS")*Engagement_Register!$AA$7:$AA$39*Engagements!$G$9:$G$41))</f>
        <v>260.714</v>
      </c>
      <c r="H24" s="67" t="n">
        <f aca="false">IF(H$5="A",Inputs_Actuals!H138+Inputs_Actuals!H139,SUMPRODUCT((Engagement_Register!$C$7:$C$39="OPS")*Engagement_Register!$AA$7:$AA$39*Engagements!$H$9:$H$41))</f>
        <v>219.288</v>
      </c>
      <c r="I24" s="67" t="n">
        <f aca="false">IF(I$5="A",Inputs_Actuals!I138+Inputs_Actuals!I139,SUMPRODUCT((Engagement_Register!$C$7:$C$39="OPS")*Engagement_Register!$AA$7:$AA$39*Engagements!$I$9:$I$41))</f>
        <v>251.867</v>
      </c>
      <c r="J24" s="67" t="n">
        <f aca="false">IF(J$5="A",Inputs_Actuals!J138+Inputs_Actuals!J139,SUMPRODUCT((Engagement_Register!$C$7:$C$39="OPS")*Engagement_Register!$AA$7:$AA$39*Engagements!$J$9:$J$41))</f>
        <v>313.6</v>
      </c>
      <c r="K24" s="67" t="n">
        <f aca="false">IF(K$5="A",Inputs_Actuals!K138+Inputs_Actuals!K139,SUMPRODUCT((Engagement_Register!$C$7:$C$39="OPS")*Engagement_Register!$AA$7:$AA$39*Engagements!$K$9:$K$41))</f>
        <v>238.327</v>
      </c>
      <c r="L24" s="67" t="n">
        <f aca="false">IF(L$5="A",Inputs_Actuals!L138+Inputs_Actuals!L139,SUMPRODUCT((Engagement_Register!$C$7:$C$39="OPS")*Engagement_Register!$AA$7:$AA$39*Engagements!$L$9:$L$41))</f>
        <v>207.501</v>
      </c>
      <c r="M24" s="67" t="n">
        <f aca="false">IF(M$5="A",Inputs_Actuals!M138+Inputs_Actuals!M139,SUMPRODUCT((Engagement_Register!$C$7:$C$39="OPS")*Engagement_Register!$AA$7:$AA$39*Engagements!$M$9:$M$41))</f>
        <v>287.780020296406</v>
      </c>
      <c r="N24" s="67" t="n">
        <f aca="false">IF(N$5="A",Inputs_Actuals!N138+Inputs_Actuals!N139,SUMPRODUCT((Engagement_Register!$C$7:$C$39="OPS")*Engagement_Register!$AA$7:$AA$39*Engagements!$N$9:$N$41))</f>
        <v>251.20350447535</v>
      </c>
      <c r="O24" s="67" t="n">
        <f aca="false">IF(O$5="A",Inputs_Actuals!O138+Inputs_Actuals!O139,SUMPRODUCT((Engagement_Register!$C$7:$C$39="OPS")*Engagement_Register!$AA$7:$AA$39*Engagements!$O$9:$O$41))</f>
        <v>215.388270800618</v>
      </c>
      <c r="P24" s="67" t="n">
        <f aca="false">IF(P$5="A",Inputs_Actuals!P138+Inputs_Actuals!P139,SUMPRODUCT((Engagement_Register!$C$7:$C$39="OPS")*Engagement_Register!$AA$7:$AA$39*Engagements!$P$9:$P$41))</f>
        <v>189.872962854593</v>
      </c>
      <c r="Q24" s="67" t="n">
        <f aca="false">IF(Q$5="A",Inputs_Actuals!Q138+Inputs_Actuals!Q139,SUMPRODUCT((Engagement_Register!$C$7:$C$39="OPS")*Engagement_Register!$AA$7:$AA$39*Engagements!$Q$9:$Q$41))</f>
        <v>153.11196424717</v>
      </c>
      <c r="R24" s="67" t="n">
        <f aca="false">IF(R$5="A",Inputs_Actuals!R138+Inputs_Actuals!R139,SUMPRODUCT((Engagement_Register!$C$7:$C$39="OPS")*Engagement_Register!$AA$7:$AA$39*Engagements!$R$9:$R$41))</f>
        <v>157.896713129894</v>
      </c>
      <c r="S24" s="67" t="n">
        <f aca="false">IF(S$5="A",Inputs_Actuals!S138+Inputs_Actuals!S139,SUMPRODUCT((Engagement_Register!$C$7:$C$39="OPS")*Engagement_Register!$AA$7:$AA$39*Engagements!$S$9:$S$41))</f>
        <v>188.414534346013</v>
      </c>
      <c r="T24" s="67" t="n">
        <f aca="false">IF(T$5="A",Inputs_Actuals!T138+Inputs_Actuals!T139,SUMPRODUCT((Engagement_Register!$C$7:$C$39="OPS")*Engagement_Register!$AA$7:$AA$39*Engagements!$T$9:$T$41))</f>
        <v>138.000670221996</v>
      </c>
      <c r="U24" s="67" t="n">
        <f aca="false">IF(U$5="A",Inputs_Actuals!U138+Inputs_Actuals!U139,SUMPRODUCT((Engagement_Register!$C$7:$C$39="OPS")*Engagement_Register!$AA$7:$AA$39*Engagements!$U$9:$U$41))</f>
        <v>105.178889196224</v>
      </c>
      <c r="V24" s="67" t="n">
        <f aca="false">IF(V$5="A",Inputs_Actuals!V138+Inputs_Actuals!V139,SUMPRODUCT((Engagement_Register!$C$7:$C$39="OPS")*Engagement_Register!$AA$7:$AA$39*Engagements!$V$9:$V$41))</f>
        <v>142.476367634602</v>
      </c>
      <c r="W24" s="67" t="n">
        <f aca="false">IF(W$5="A",Inputs_Actuals!W138+Inputs_Actuals!W139,SUMPRODUCT((Engagement_Register!$C$7:$C$39="OPS")*Engagement_Register!$AA$7:$AA$39*Engagements!$W$9:$W$41))</f>
        <v>96.8250078078649</v>
      </c>
      <c r="X24" s="67" t="n">
        <f aca="false">IF(X$5="A",Inputs_Actuals!X138+Inputs_Actuals!X139,SUMPRODUCT((Engagement_Register!$C$7:$C$39="OPS")*Engagement_Register!$AA$7:$AA$39*Engagements!$X$9:$X$41))</f>
        <v>52.8178689185078</v>
      </c>
      <c r="Y24" s="67" t="n">
        <f aca="false">IF(Y$5="A",Inputs_Actuals!Y138+Inputs_Actuals!Y139,SUMPRODUCT((Engagement_Register!$C$7:$C$39="OPS")*Engagement_Register!$AA$7:$AA$39*Engagements!$Y$9:$Y$41))</f>
        <v>62.2729195273765</v>
      </c>
      <c r="Z24" s="67" t="n">
        <f aca="false">IF(Z$5="A",Inputs_Actuals!Z138+Inputs_Actuals!Z139,SUMPRODUCT((Engagement_Register!$C$7:$C$39="OPS")*Engagement_Register!$AA$7:$AA$39*Engagements!$Z$9:$Z$41))</f>
        <v>18.7118065433855</v>
      </c>
      <c r="AA24" s="67" t="n">
        <f aca="false">IF(AA$5="A",Inputs_Actuals!AA138+Inputs_Actuals!AA139,SUMPRODUCT((Engagement_Register!$C$7:$C$39="OPS")*Engagement_Register!$AA$7:$AA$39*Engagements!$AA$9:$AA$41))</f>
        <v>0</v>
      </c>
      <c r="AB24" s="67" t="n">
        <f aca="false">IF(AB$5="A",Inputs_Actuals!AB138+Inputs_Actuals!AB139,SUMPRODUCT((Engagement_Register!$C$7:$C$39="OPS")*Engagement_Register!$AA$7:$AA$39*Engagements!$AB$9:$AB$41))</f>
        <v>0</v>
      </c>
    </row>
    <row r="25" customFormat="false" ht="15" hidden="false" customHeight="false" outlineLevel="0" collapsed="false">
      <c r="A25" s="29" t="s">
        <v>1011</v>
      </c>
      <c r="B25" s="60" t="s">
        <v>993</v>
      </c>
      <c r="C25" s="66" t="n">
        <f aca="false">SUM(E25:P25)</f>
        <v>194.033039374442</v>
      </c>
      <c r="D25" s="66" t="n">
        <f aca="false">SUM(Q25:AB25)</f>
        <v>2567.64080060497</v>
      </c>
      <c r="E25" s="72" t="n">
        <f aca="false">0</f>
        <v>0</v>
      </c>
      <c r="F25" s="72" t="n">
        <f aca="false">0</f>
        <v>0</v>
      </c>
      <c r="G25" s="72" t="n">
        <f aca="false">0</f>
        <v>0</v>
      </c>
      <c r="H25" s="72" t="n">
        <f aca="false">0</f>
        <v>0</v>
      </c>
      <c r="I25" s="72" t="n">
        <f aca="false">0</f>
        <v>0</v>
      </c>
      <c r="J25" s="72" t="n">
        <f aca="false">0</f>
        <v>0</v>
      </c>
      <c r="K25" s="72" t="n">
        <f aca="false">0</f>
        <v>0</v>
      </c>
      <c r="L25" s="72" t="n">
        <f aca="false">0</f>
        <v>0</v>
      </c>
      <c r="M25" s="67" t="n">
        <f aca="false">IF(Assumptions!M$186&gt;=Assumptions!$C$152,MAX(0,Assumptions!$F$66*M23-M24)*Assumptions!$F$168,0)</f>
        <v>0</v>
      </c>
      <c r="N25" s="67" t="n">
        <f aca="false">IF(Assumptions!N$186&gt;=Assumptions!$C$152,MAX(0,Assumptions!$F$66*N23-N24)*Assumptions!$F$168,0)</f>
        <v>0</v>
      </c>
      <c r="O25" s="67" t="n">
        <f aca="false">IF(Assumptions!O$186&gt;=Assumptions!$C$152,MAX(0,Assumptions!$F$66*O23-O24)*Assumptions!$F$168,0)</f>
        <v>83.2718316928392</v>
      </c>
      <c r="P25" s="67" t="n">
        <f aca="false">IF(Assumptions!P$186&gt;=Assumptions!$C$152,MAX(0,Assumptions!$F$66*P23-P24)*Assumptions!$F$168,0)</f>
        <v>110.761207681603</v>
      </c>
      <c r="Q25" s="67" t="n">
        <f aca="false">IF(Assumptions!Q$186&gt;=Assumptions!$C$152,MAX(0,Assumptions!$F$66*Q23-Q24)*Assumptions!$F$168,0)</f>
        <v>140.677100815227</v>
      </c>
      <c r="R25" s="67" t="n">
        <f aca="false">IF(Assumptions!R$186&gt;=Assumptions!$C$152,MAX(0,Assumptions!$F$66*R23-R24)*Assumptions!$F$168,0)</f>
        <v>144.758809126373</v>
      </c>
      <c r="S25" s="67" t="n">
        <f aca="false">IF(Assumptions!S$186&gt;=Assumptions!$C$152,MAX(0,Assumptions!$F$66*S23-S24)*Assumptions!$F$168,0)</f>
        <v>139.707267912849</v>
      </c>
      <c r="T25" s="67" t="n">
        <f aca="false">IF(Assumptions!T$186&gt;=Assumptions!$C$152,MAX(0,Assumptions!$F$66*T23-T24)*Assumptions!$F$168,0)</f>
        <v>192.801243487221</v>
      </c>
      <c r="U25" s="67" t="n">
        <f aca="false">IF(Assumptions!U$186&gt;=Assumptions!$C$152,MAX(0,Assumptions!$F$66*U23-U24)*Assumptions!$F$168,0)</f>
        <v>146.952701819832</v>
      </c>
      <c r="V25" s="67" t="n">
        <f aca="false">IF(Assumptions!V$186&gt;=Assumptions!$C$152,MAX(0,Assumptions!$F$66*V23-V24)*Assumptions!$F$168,0)</f>
        <v>199.069810080807</v>
      </c>
      <c r="W25" s="67" t="n">
        <f aca="false">IF(Assumptions!W$186&gt;=Assumptions!$C$152,MAX(0,Assumptions!$F$66*W23-W24)*Assumptions!$F$168,0)</f>
        <v>225.759748397516</v>
      </c>
      <c r="X25" s="67" t="n">
        <f aca="false">IF(Assumptions!X$186&gt;=Assumptions!$C$152,MAX(0,Assumptions!$F$66*X23-X24)*Assumptions!$F$168,0)</f>
        <v>223.267737222357</v>
      </c>
      <c r="Y25" s="67" t="n">
        <f aca="false">IF(Assumptions!Y$186&gt;=Assumptions!$C$152,MAX(0,Assumptions!$F$66*Y23-Y24)*Assumptions!$F$168,0)</f>
        <v>263.235342984467</v>
      </c>
      <c r="Z25" s="67" t="n">
        <f aca="false">IF(Assumptions!Z$186&gt;=Assumptions!$C$152,MAX(0,Assumptions!$F$66*Z23-Z24)*Assumptions!$F$168,0)</f>
        <v>270.220795888863</v>
      </c>
      <c r="AA25" s="67" t="n">
        <f aca="false">IF(Assumptions!AA$186&gt;=Assumptions!$C$152,MAX(0,Assumptions!$F$66*AA23-AA24)*Assumptions!$F$168,0)</f>
        <v>298.302438129623</v>
      </c>
      <c r="AB25" s="67" t="n">
        <f aca="false">IF(Assumptions!AB$186&gt;=Assumptions!$C$152,MAX(0,Assumptions!$F$66*AB23-AB24)*Assumptions!$F$168,0)</f>
        <v>322.887804739836</v>
      </c>
    </row>
    <row r="26" customFormat="false" ht="15" hidden="false" customHeight="false" outlineLevel="0" collapsed="false">
      <c r="A26" s="29" t="s">
        <v>1012</v>
      </c>
      <c r="B26" s="60" t="s">
        <v>995</v>
      </c>
      <c r="C26" s="66" t="n">
        <f aca="false">SUM(E26:P26)</f>
        <v>2994.80979780141</v>
      </c>
      <c r="D26" s="66" t="n">
        <f aca="false">SUM(Q26:AB26)</f>
        <v>3683.347542178</v>
      </c>
      <c r="E26" s="72" t="n">
        <f aca="false">E24+E25</f>
        <v>179.634</v>
      </c>
      <c r="F26" s="72" t="n">
        <f aca="false">F24+F25</f>
        <v>185.601</v>
      </c>
      <c r="G26" s="72" t="n">
        <f aca="false">G24+G25</f>
        <v>260.714</v>
      </c>
      <c r="H26" s="72" t="n">
        <f aca="false">H24+H25</f>
        <v>219.288</v>
      </c>
      <c r="I26" s="72" t="n">
        <f aca="false">I24+I25</f>
        <v>251.867</v>
      </c>
      <c r="J26" s="72" t="n">
        <f aca="false">J24+J25</f>
        <v>313.6</v>
      </c>
      <c r="K26" s="72" t="n">
        <f aca="false">K24+K25</f>
        <v>238.327</v>
      </c>
      <c r="L26" s="72" t="n">
        <f aca="false">L24+L25</f>
        <v>207.501</v>
      </c>
      <c r="M26" s="72" t="n">
        <f aca="false">M24+M25</f>
        <v>287.780020296406</v>
      </c>
      <c r="N26" s="72" t="n">
        <f aca="false">N24+N25</f>
        <v>251.20350447535</v>
      </c>
      <c r="O26" s="72" t="n">
        <f aca="false">O24+O25</f>
        <v>298.660102493457</v>
      </c>
      <c r="P26" s="72" t="n">
        <f aca="false">P24+P25</f>
        <v>300.634170536196</v>
      </c>
      <c r="Q26" s="72" t="n">
        <f aca="false">Q24+Q25</f>
        <v>293.789065062397</v>
      </c>
      <c r="R26" s="72" t="n">
        <f aca="false">R24+R25</f>
        <v>302.655522256267</v>
      </c>
      <c r="S26" s="72" t="n">
        <f aca="false">S24+S25</f>
        <v>328.121802258862</v>
      </c>
      <c r="T26" s="72" t="n">
        <f aca="false">T24+T25</f>
        <v>330.801913709218</v>
      </c>
      <c r="U26" s="72" t="n">
        <f aca="false">U24+U25</f>
        <v>252.131591016056</v>
      </c>
      <c r="V26" s="72" t="n">
        <f aca="false">V24+V25</f>
        <v>341.546177715408</v>
      </c>
      <c r="W26" s="72" t="n">
        <f aca="false">W24+W25</f>
        <v>322.584756205381</v>
      </c>
      <c r="X26" s="72" t="n">
        <f aca="false">X24+X25</f>
        <v>276.085606140865</v>
      </c>
      <c r="Y26" s="72" t="n">
        <f aca="false">Y24+Y25</f>
        <v>325.508262511843</v>
      </c>
      <c r="Z26" s="72" t="n">
        <f aca="false">Z24+Z25</f>
        <v>288.932602432248</v>
      </c>
      <c r="AA26" s="72" t="n">
        <f aca="false">AA24+AA25</f>
        <v>298.302438129623</v>
      </c>
      <c r="AB26" s="72" t="n">
        <f aca="false">AB24+AB25</f>
        <v>322.887804739836</v>
      </c>
    </row>
    <row r="27" customFormat="false" ht="15" hidden="false" customHeight="false" outlineLevel="0" collapsed="false">
      <c r="A27" s="29" t="s">
        <v>1013</v>
      </c>
      <c r="B27" s="60" t="s">
        <v>997</v>
      </c>
      <c r="C27" s="66" t="n">
        <f aca="false">SUM(E27:P27)</f>
        <v>2994.47779780141</v>
      </c>
      <c r="D27" s="66" t="n">
        <f aca="false">SUM(Q27:AB27)</f>
        <v>3683.347542178</v>
      </c>
      <c r="E27" s="67" t="n">
        <f aca="false">IF(E$5="A",Inputs_Actuals!E138,MIN(E26,E23*Assumptions!$C$83))</f>
        <v>179.6</v>
      </c>
      <c r="F27" s="67" t="n">
        <f aca="false">IF(F$5="A",Inputs_Actuals!F138,MIN(F26,F23*Assumptions!$C$83))</f>
        <v>185.6</v>
      </c>
      <c r="G27" s="67" t="n">
        <f aca="false">IF(G$5="A",Inputs_Actuals!G138,MIN(G26,G23*Assumptions!$C$83))</f>
        <v>260.7</v>
      </c>
      <c r="H27" s="67" t="n">
        <f aca="false">IF(H$5="A",Inputs_Actuals!H138,MIN(H26,H23*Assumptions!$C$83))</f>
        <v>219.2</v>
      </c>
      <c r="I27" s="67" t="n">
        <f aca="false">IF(I$5="A",Inputs_Actuals!I138,MIN(I26,I23*Assumptions!$C$83))</f>
        <v>251.8</v>
      </c>
      <c r="J27" s="67" t="n">
        <f aca="false">IF(J$5="A",Inputs_Actuals!J138,MIN(J26,J23*Assumptions!$C$83))</f>
        <v>313.5</v>
      </c>
      <c r="K27" s="67" t="n">
        <f aca="false">IF(K$5="A",Inputs_Actuals!K138,MIN(K26,K23*Assumptions!$C$83))</f>
        <v>238.3</v>
      </c>
      <c r="L27" s="67" t="n">
        <f aca="false">IF(L$5="A",Inputs_Actuals!L138,MIN(L26,L23*Assumptions!$C$83))</f>
        <v>207.5</v>
      </c>
      <c r="M27" s="67" t="n">
        <f aca="false">IF(M$5="A",Inputs_Actuals!M138,MIN(M26,M23*Assumptions!$C$83))</f>
        <v>287.780020296406</v>
      </c>
      <c r="N27" s="67" t="n">
        <f aca="false">IF(N$5="A",Inputs_Actuals!N138,MIN(N26,N23*Assumptions!$C$83))</f>
        <v>251.20350447535</v>
      </c>
      <c r="O27" s="67" t="n">
        <f aca="false">IF(O$5="A",Inputs_Actuals!O138,MIN(O26,O23*Assumptions!$C$83))</f>
        <v>298.660102493457</v>
      </c>
      <c r="P27" s="67" t="n">
        <f aca="false">IF(P$5="A",Inputs_Actuals!P138,MIN(P26,P23*Assumptions!$C$83))</f>
        <v>300.634170536196</v>
      </c>
      <c r="Q27" s="67" t="n">
        <f aca="false">IF(Q$5="A",Inputs_Actuals!Q138,MIN(Q26,Q23*Assumptions!$C$83))</f>
        <v>293.789065062397</v>
      </c>
      <c r="R27" s="67" t="n">
        <f aca="false">IF(R$5="A",Inputs_Actuals!R138,MIN(R26,R23*Assumptions!$C$83))</f>
        <v>302.655522256267</v>
      </c>
      <c r="S27" s="67" t="n">
        <f aca="false">IF(S$5="A",Inputs_Actuals!S138,MIN(S26,S23*Assumptions!$C$83))</f>
        <v>328.121802258862</v>
      </c>
      <c r="T27" s="67" t="n">
        <f aca="false">IF(T$5="A",Inputs_Actuals!T138,MIN(T26,T23*Assumptions!$C$83))</f>
        <v>330.801913709218</v>
      </c>
      <c r="U27" s="67" t="n">
        <f aca="false">IF(U$5="A",Inputs_Actuals!U138,MIN(U26,U23*Assumptions!$C$83))</f>
        <v>252.131591016056</v>
      </c>
      <c r="V27" s="67" t="n">
        <f aca="false">IF(V$5="A",Inputs_Actuals!V138,MIN(V26,V23*Assumptions!$C$83))</f>
        <v>341.546177715408</v>
      </c>
      <c r="W27" s="67" t="n">
        <f aca="false">IF(W$5="A",Inputs_Actuals!W138,MIN(W26,W23*Assumptions!$C$83))</f>
        <v>322.584756205381</v>
      </c>
      <c r="X27" s="67" t="n">
        <f aca="false">IF(X$5="A",Inputs_Actuals!X138,MIN(X26,X23*Assumptions!$C$83))</f>
        <v>276.085606140865</v>
      </c>
      <c r="Y27" s="67" t="n">
        <f aca="false">IF(Y$5="A",Inputs_Actuals!Y138,MIN(Y26,Y23*Assumptions!$C$83))</f>
        <v>325.508262511843</v>
      </c>
      <c r="Z27" s="67" t="n">
        <f aca="false">IF(Z$5="A",Inputs_Actuals!Z138,MIN(Z26,Z23*Assumptions!$C$83))</f>
        <v>288.932602432248</v>
      </c>
      <c r="AA27" s="67" t="n">
        <f aca="false">IF(AA$5="A",Inputs_Actuals!AA138,MIN(AA26,AA23*Assumptions!$C$83))</f>
        <v>298.302438129623</v>
      </c>
      <c r="AB27" s="67" t="n">
        <f aca="false">IF(AB$5="A",Inputs_Actuals!AB138,MIN(AB26,AB23*Assumptions!$C$83))</f>
        <v>322.887804739836</v>
      </c>
    </row>
    <row r="28" customFormat="false" ht="15" hidden="false" customHeight="false" outlineLevel="0" collapsed="false">
      <c r="A28" s="29" t="s">
        <v>1014</v>
      </c>
      <c r="B28" s="60" t="s">
        <v>999</v>
      </c>
      <c r="C28" s="66" t="n">
        <f aca="false">SUM(E28:P28)</f>
        <v>0.332</v>
      </c>
      <c r="D28" s="66" t="n">
        <f aca="false">SUM(Q28:AB28)</f>
        <v>0</v>
      </c>
      <c r="E28" s="67" t="n">
        <f aca="false">IF(E$5="A",Inputs_Actuals!E139,E26-E27)</f>
        <v>0.034</v>
      </c>
      <c r="F28" s="67" t="n">
        <f aca="false">IF(F$5="A",Inputs_Actuals!F139,F26-F27)</f>
        <v>0.001</v>
      </c>
      <c r="G28" s="67" t="n">
        <f aca="false">IF(G$5="A",Inputs_Actuals!G139,G26-G27)</f>
        <v>0.014</v>
      </c>
      <c r="H28" s="67" t="n">
        <f aca="false">IF(H$5="A",Inputs_Actuals!H139,H26-H27)</f>
        <v>0.088</v>
      </c>
      <c r="I28" s="67" t="n">
        <f aca="false">IF(I$5="A",Inputs_Actuals!I139,I26-I27)</f>
        <v>0.067</v>
      </c>
      <c r="J28" s="67" t="n">
        <f aca="false">IF(J$5="A",Inputs_Actuals!J139,J26-J27)</f>
        <v>0.1</v>
      </c>
      <c r="K28" s="67" t="n">
        <f aca="false">IF(K$5="A",Inputs_Actuals!K139,K26-K27)</f>
        <v>0.027</v>
      </c>
      <c r="L28" s="67" t="n">
        <f aca="false">IF(L$5="A",Inputs_Actuals!L139,L26-L27)</f>
        <v>0.001</v>
      </c>
      <c r="M28" s="67" t="n">
        <f aca="false">IF(M$5="A",Inputs_Actuals!M139,M26-M27)</f>
        <v>0</v>
      </c>
      <c r="N28" s="67" t="n">
        <f aca="false">IF(N$5="A",Inputs_Actuals!N139,N26-N27)</f>
        <v>0</v>
      </c>
      <c r="O28" s="67" t="n">
        <f aca="false">IF(O$5="A",Inputs_Actuals!O139,O26-O27)</f>
        <v>0</v>
      </c>
      <c r="P28" s="67" t="n">
        <f aca="false">IF(P$5="A",Inputs_Actuals!P139,P26-P27)</f>
        <v>0</v>
      </c>
      <c r="Q28" s="67" t="n">
        <f aca="false">IF(Q$5="A",Inputs_Actuals!Q139,Q26-Q27)</f>
        <v>0</v>
      </c>
      <c r="R28" s="67" t="n">
        <f aca="false">IF(R$5="A",Inputs_Actuals!R139,R26-R27)</f>
        <v>0</v>
      </c>
      <c r="S28" s="67" t="n">
        <f aca="false">IF(S$5="A",Inputs_Actuals!S139,S26-S27)</f>
        <v>0</v>
      </c>
      <c r="T28" s="67" t="n">
        <f aca="false">IF(T$5="A",Inputs_Actuals!T139,T26-T27)</f>
        <v>0</v>
      </c>
      <c r="U28" s="67" t="n">
        <f aca="false">IF(U$5="A",Inputs_Actuals!U139,U26-U27)</f>
        <v>0</v>
      </c>
      <c r="V28" s="67" t="n">
        <f aca="false">IF(V$5="A",Inputs_Actuals!V139,V26-V27)</f>
        <v>0</v>
      </c>
      <c r="W28" s="67" t="n">
        <f aca="false">IF(W$5="A",Inputs_Actuals!W139,W26-W27)</f>
        <v>0</v>
      </c>
      <c r="X28" s="67" t="n">
        <f aca="false">IF(X$5="A",Inputs_Actuals!X139,X26-X27)</f>
        <v>0</v>
      </c>
      <c r="Y28" s="67" t="n">
        <f aca="false">IF(Y$5="A",Inputs_Actuals!Y139,Y26-Y27)</f>
        <v>0</v>
      </c>
      <c r="Z28" s="67" t="n">
        <f aca="false">IF(Z$5="A",Inputs_Actuals!Z139,Z26-Z27)</f>
        <v>0</v>
      </c>
      <c r="AA28" s="67" t="n">
        <f aca="false">IF(AA$5="A",Inputs_Actuals!AA139,AA26-AA27)</f>
        <v>0</v>
      </c>
      <c r="AB28" s="67" t="n">
        <f aca="false">IF(AB$5="A",Inputs_Actuals!AB139,AB26-AB27)</f>
        <v>0</v>
      </c>
    </row>
    <row r="29" customFormat="false" ht="15" hidden="false" customHeight="false" outlineLevel="0" collapsed="false">
      <c r="A29" s="29" t="s">
        <v>1015</v>
      </c>
      <c r="B29" s="60" t="s">
        <v>1001</v>
      </c>
      <c r="C29" s="63" t="n">
        <f aca="false">IF(C23=0,0,C27/C23)</f>
        <v>0.598059785702375</v>
      </c>
      <c r="D29" s="63" t="n">
        <f aca="false">IF(D23=0,0,D27/D23)</f>
        <v>0.638692725660744</v>
      </c>
      <c r="E29" s="64" t="n">
        <f aca="false">IF(E23=0,0,E27/E23)</f>
        <v>0.440196078431373</v>
      </c>
      <c r="F29" s="64" t="n">
        <f aca="false">IF(F23=0,0,F27/F23)</f>
        <v>0.468686868686869</v>
      </c>
      <c r="G29" s="64" t="n">
        <f aca="false">IF(G23=0,0,G27/G23)</f>
        <v>0.580882352941177</v>
      </c>
      <c r="H29" s="64" t="n">
        <f aca="false">IF(H23=0,0,H27/H23)</f>
        <v>0.553535353535354</v>
      </c>
      <c r="I29" s="64" t="n">
        <f aca="false">IF(I23=0,0,I27/I23)</f>
        <v>0.744089834515367</v>
      </c>
      <c r="J29" s="64" t="n">
        <f aca="false">IF(J23=0,0,J27/J23)</f>
        <v>0.721685082872928</v>
      </c>
      <c r="K29" s="64" t="n">
        <f aca="false">IF(K23=0,0,K27/K23)</f>
        <v>0.509188034188034</v>
      </c>
      <c r="L29" s="64" t="n">
        <f aca="false">IF(L23=0,0,L27/L23)</f>
        <v>0.568804824561404</v>
      </c>
      <c r="M29" s="64" t="n">
        <f aca="false">IF(M23=0,0,M27/M23)</f>
        <v>0.633067931489299</v>
      </c>
      <c r="N29" s="64" t="n">
        <f aca="false">IF(N23=0,0,N27/N23)</f>
        <v>0.578449164903339</v>
      </c>
      <c r="O29" s="64" t="n">
        <f aca="false">IF(O23=0,0,O27/O23)</f>
        <v>0.701128198217918</v>
      </c>
      <c r="P29" s="64" t="n">
        <f aca="false">IF(P23=0,0,P27/P23)</f>
        <v>0.686746334243951</v>
      </c>
      <c r="Q29" s="64" t="n">
        <f aca="false">IF(Q23=0,0,Q27/Q23)</f>
        <v>0.669816727001024</v>
      </c>
      <c r="R29" s="64" t="n">
        <f aca="false">IF(R23=0,0,R27/R23)</f>
        <v>0.669897715105139</v>
      </c>
      <c r="S29" s="64" t="n">
        <f aca="false">IF(S23=0,0,S27/S23)</f>
        <v>0.677846819005381</v>
      </c>
      <c r="T29" s="64" t="n">
        <f aca="false">IF(T23=0,0,T27/T23)</f>
        <v>0.654617358924958</v>
      </c>
      <c r="U29" s="64" t="n">
        <f aca="false">IF(U23=0,0,U27/U23)</f>
        <v>0.654615730722435</v>
      </c>
      <c r="V29" s="64" t="n">
        <f aca="false">IF(V23=0,0,V27/V23)</f>
        <v>0.654614645373642</v>
      </c>
      <c r="W29" s="64" t="n">
        <f aca="false">IF(W23=0,0,W27/W23)</f>
        <v>0.638318746582302</v>
      </c>
      <c r="X29" s="64" t="n">
        <f aca="false">IF(X23=0,0,X27/X23)</f>
        <v>0.623870502247796</v>
      </c>
      <c r="Y29" s="64" t="n">
        <f aca="false">IF(Y23=0,0,Y27/Y23)</f>
        <v>0.623870508011763</v>
      </c>
      <c r="Z29" s="64" t="n">
        <f aca="false">IF(Z23=0,0,Z27/Z23)</f>
        <v>0.607873399792223</v>
      </c>
      <c r="AA29" s="64" t="n">
        <f aca="false">IF(AA23=0,0,AA27/AA23)</f>
        <v>0.6</v>
      </c>
      <c r="AB29" s="64" t="n">
        <f aca="false">IF(AB23=0,0,AB27/AB23)</f>
        <v>0.6</v>
      </c>
    </row>
    <row r="30" customFormat="false" ht="15" hidden="false" customHeight="false" outlineLevel="0" collapsed="false">
      <c r="A30" s="29" t="s">
        <v>1016</v>
      </c>
      <c r="B30" s="60" t="s">
        <v>989</v>
      </c>
      <c r="C30" s="66" t="n">
        <f aca="false">SUM(E30:P30)</f>
        <v>6264.68020210938</v>
      </c>
      <c r="D30" s="66" t="n">
        <f aca="false">SUM(Q30:AB30)</f>
        <v>6507.90169731308</v>
      </c>
      <c r="E30" s="67" t="n">
        <f aca="false">(People!E49)*Assumptions!E$200</f>
        <v>544</v>
      </c>
      <c r="F30" s="67" t="n">
        <f aca="false">(People!F49)*Assumptions!F$200</f>
        <v>528</v>
      </c>
      <c r="G30" s="67" t="n">
        <f aca="false">(People!G49)*Assumptions!G$200</f>
        <v>598.4</v>
      </c>
      <c r="H30" s="67" t="n">
        <f aca="false">(People!H49)*Assumptions!H$200</f>
        <v>396</v>
      </c>
      <c r="I30" s="67" t="n">
        <f aca="false">(People!I49)*Assumptions!I$200</f>
        <v>338.4</v>
      </c>
      <c r="J30" s="67" t="n">
        <f aca="false">(People!J49)*Assumptions!J$200</f>
        <v>434.4</v>
      </c>
      <c r="K30" s="67" t="n">
        <f aca="false">(People!K49)*Assumptions!K$200</f>
        <v>624</v>
      </c>
      <c r="L30" s="67" t="n">
        <f aca="false">(People!L49)*Assumptions!L$200</f>
        <v>486.4</v>
      </c>
      <c r="M30" s="67" t="n">
        <f aca="false">(People!M49)*Assumptions!M$200</f>
        <v>603.56</v>
      </c>
      <c r="N30" s="67" t="n">
        <f aca="false">(People!N49)*Assumptions!N$200</f>
        <v>574.172</v>
      </c>
      <c r="O30" s="67" t="n">
        <f aca="false">(People!O49)*Assumptions!O$200</f>
        <v>560.8318625</v>
      </c>
      <c r="P30" s="67" t="n">
        <f aca="false">(People!P49)*Assumptions!P$200</f>
        <v>576.516339609375</v>
      </c>
      <c r="Q30" s="67" t="n">
        <f aca="false">(People!Q49)*Assumptions!Q$200</f>
        <v>493.43006234375</v>
      </c>
      <c r="R30" s="67" t="n">
        <f aca="false">(People!R49)*Assumptions!R$200</f>
        <v>508.925161144592</v>
      </c>
      <c r="S30" s="67" t="n">
        <f aca="false">(People!S49)*Assumptions!S$200</f>
        <v>545.93148130709</v>
      </c>
      <c r="T30" s="67" t="n">
        <f aca="false">(People!T49)*Assumptions!T$200</f>
        <v>570.60315100539</v>
      </c>
      <c r="U30" s="67" t="n">
        <f aca="false">(People!U49)*Assumptions!U$200</f>
        <v>434.891420195981</v>
      </c>
      <c r="V30" s="67" t="n">
        <f aca="false">(People!V49)*Assumptions!V$200</f>
        <v>589.108375781977</v>
      </c>
      <c r="W30" s="67" t="n">
        <f aca="false">(People!W49)*Assumptions!W$200</f>
        <v>570.602403468761</v>
      </c>
      <c r="X30" s="67" t="n">
        <f aca="false">(People!X49)*Assumptions!X$200</f>
        <v>499.662653382167</v>
      </c>
      <c r="Y30" s="67" t="n">
        <f aca="false">(People!Y49)*Assumptions!Y$200</f>
        <v>589.108434498008</v>
      </c>
      <c r="Z30" s="67" t="n">
        <f aca="false">(People!Z49)*Assumptions!Z$200</f>
        <v>536.674698821707</v>
      </c>
      <c r="AA30" s="67" t="n">
        <f aca="false">(People!AA49)*Assumptions!AA$200</f>
        <v>561.349397541889</v>
      </c>
      <c r="AB30" s="67" t="n">
        <f aca="false">(People!AB49)*Assumptions!AB$200</f>
        <v>607.614457821768</v>
      </c>
    </row>
    <row r="31" customFormat="false" ht="15" hidden="false" customHeight="false" outlineLevel="0" collapsed="false">
      <c r="A31" s="29" t="s">
        <v>1017</v>
      </c>
      <c r="B31" s="60" t="s">
        <v>991</v>
      </c>
      <c r="C31" s="66" t="n">
        <f aca="false">SUM(E31:P31)</f>
        <v>4971.95764044944</v>
      </c>
      <c r="D31" s="66" t="n">
        <f aca="false">SUM(Q31:AB31)</f>
        <v>2045.46235955056</v>
      </c>
      <c r="E31" s="67" t="n">
        <f aca="false">IF(E$5="A",Inputs_Actuals!E140+Inputs_Actuals!E141,SUMPRODUCT((Engagement_Register!$C$7:$C$39="OPS")*Engagement_Register!$AB$7:$AB$39*Engagements!$E$9:$E$41))</f>
        <v>321.279</v>
      </c>
      <c r="F31" s="67" t="n">
        <f aca="false">IF(F$5="A",Inputs_Actuals!F140+Inputs_Actuals!F141,SUMPRODUCT((Engagement_Register!$C$7:$C$39="OPS")*Engagement_Register!$AB$7:$AB$39*Engagements!$F$9:$F$41))</f>
        <v>332.115</v>
      </c>
      <c r="G31" s="67" t="n">
        <f aca="false">IF(G$5="A",Inputs_Actuals!G140+Inputs_Actuals!G141,SUMPRODUCT((Engagement_Register!$C$7:$C$39="OPS")*Engagement_Register!$AB$7:$AB$39*Engagements!$G$9:$G$41))</f>
        <v>458.372</v>
      </c>
      <c r="H31" s="67" t="n">
        <f aca="false">IF(H$5="A",Inputs_Actuals!H140+Inputs_Actuals!H141,SUMPRODUCT((Engagement_Register!$C$7:$C$39="OPS")*Engagement_Register!$AB$7:$AB$39*Engagements!$H$9:$H$41))</f>
        <v>387.216</v>
      </c>
      <c r="I31" s="67" t="n">
        <f aca="false">IF(I$5="A",Inputs_Actuals!I140+Inputs_Actuals!I141,SUMPRODUCT((Engagement_Register!$C$7:$C$39="OPS")*Engagement_Register!$AB$7:$AB$39*Engagements!$I$9:$I$41))</f>
        <v>449.708</v>
      </c>
      <c r="J31" s="67" t="n">
        <f aca="false">IF(J$5="A",Inputs_Actuals!J140+Inputs_Actuals!J141,SUMPRODUCT((Engagement_Register!$C$7:$C$39="OPS")*Engagement_Register!$AB$7:$AB$39*Engagements!$J$9:$J$41))</f>
        <v>562.636</v>
      </c>
      <c r="K31" s="67" t="n">
        <f aca="false">IF(K$5="A",Inputs_Actuals!K140+Inputs_Actuals!K141,SUMPRODUCT((Engagement_Register!$C$7:$C$39="OPS")*Engagement_Register!$AB$7:$AB$39*Engagements!$K$9:$K$41))</f>
        <v>422.485</v>
      </c>
      <c r="L31" s="67" t="n">
        <f aca="false">IF(L$5="A",Inputs_Actuals!L140+Inputs_Actuals!L141,SUMPRODUCT((Engagement_Register!$C$7:$C$39="OPS")*Engagement_Register!$AB$7:$AB$39*Engagements!$L$9:$L$41))</f>
        <v>364.629</v>
      </c>
      <c r="M31" s="67" t="n">
        <f aca="false">IF(M$5="A",Inputs_Actuals!M140+Inputs_Actuals!M141,SUMPRODUCT((Engagement_Register!$C$7:$C$39="OPS")*Engagement_Register!$AB$7:$AB$39*Engagements!$M$9:$M$41))</f>
        <v>514.114317144966</v>
      </c>
      <c r="N31" s="67" t="n">
        <f aca="false">IF(N$5="A",Inputs_Actuals!N140+Inputs_Actuals!N141,SUMPRODUCT((Engagement_Register!$C$7:$C$39="OPS")*Engagement_Register!$AB$7:$AB$39*Engagements!$N$9:$N$41))</f>
        <v>439.248199219248</v>
      </c>
      <c r="O31" s="67" t="n">
        <f aca="false">IF(O$5="A",Inputs_Actuals!O140+Inputs_Actuals!O141,SUMPRODUCT((Engagement_Register!$C$7:$C$39="OPS")*Engagement_Register!$AB$7:$AB$39*Engagements!$O$9:$O$41))</f>
        <v>380.493363071212</v>
      </c>
      <c r="P31" s="67" t="n">
        <f aca="false">IF(P$5="A",Inputs_Actuals!P140+Inputs_Actuals!P141,SUMPRODUCT((Engagement_Register!$C$7:$C$39="OPS")*Engagement_Register!$AB$7:$AB$39*Engagements!$P$9:$P$41))</f>
        <v>339.661761014012</v>
      </c>
      <c r="Q31" s="67" t="n">
        <f aca="false">IF(Q$5="A",Inputs_Actuals!Q140+Inputs_Actuals!Q141,SUMPRODUCT((Engagement_Register!$C$7:$C$39="OPS")*Engagement_Register!$AB$7:$AB$39*Engagements!$Q$9:$Q$41))</f>
        <v>280.705267786478</v>
      </c>
      <c r="R31" s="67" t="n">
        <f aca="false">IF(R$5="A",Inputs_Actuals!R140+Inputs_Actuals!R141,SUMPRODUCT((Engagement_Register!$C$7:$C$39="OPS")*Engagement_Register!$AB$7:$AB$39*Engagements!$R$9:$R$41))</f>
        <v>289.477307404805</v>
      </c>
      <c r="S31" s="67" t="n">
        <f aca="false">IF(S$5="A",Inputs_Actuals!S140+Inputs_Actuals!S141,SUMPRODUCT((Engagement_Register!$C$7:$C$39="OPS")*Engagement_Register!$AB$7:$AB$39*Engagements!$S$9:$S$41))</f>
        <v>345.426646301024</v>
      </c>
      <c r="T31" s="67" t="n">
        <f aca="false">IF(T$5="A",Inputs_Actuals!T140+Inputs_Actuals!T141,SUMPRODUCT((Engagement_Register!$C$7:$C$39="OPS")*Engagement_Register!$AB$7:$AB$39*Engagements!$T$9:$T$41))</f>
        <v>253.001228740327</v>
      </c>
      <c r="U31" s="67" t="n">
        <f aca="false">IF(U$5="A",Inputs_Actuals!U140+Inputs_Actuals!U141,SUMPRODUCT((Engagement_Register!$C$7:$C$39="OPS")*Engagement_Register!$AB$7:$AB$39*Engagements!$U$9:$U$41))</f>
        <v>192.827963526411</v>
      </c>
      <c r="V31" s="67" t="n">
        <f aca="false">IF(V$5="A",Inputs_Actuals!V140+Inputs_Actuals!V141,SUMPRODUCT((Engagement_Register!$C$7:$C$39="OPS")*Engagement_Register!$AB$7:$AB$39*Engagements!$V$9:$V$41))</f>
        <v>261.20667399677</v>
      </c>
      <c r="W31" s="67" t="n">
        <f aca="false">IF(W$5="A",Inputs_Actuals!W140+Inputs_Actuals!W141,SUMPRODUCT((Engagement_Register!$C$7:$C$39="OPS")*Engagement_Register!$AB$7:$AB$39*Engagements!$W$9:$W$41))</f>
        <v>177.512514314419</v>
      </c>
      <c r="X31" s="67" t="n">
        <f aca="false">IF(X$5="A",Inputs_Actuals!X140+Inputs_Actuals!X141,SUMPRODUCT((Engagement_Register!$C$7:$C$39="OPS")*Engagement_Register!$AB$7:$AB$39*Engagements!$X$9:$X$41))</f>
        <v>96.832759683931</v>
      </c>
      <c r="Y31" s="67" t="n">
        <f aca="false">IF(Y$5="A",Inputs_Actuals!Y140+Inputs_Actuals!Y141,SUMPRODUCT((Engagement_Register!$C$7:$C$39="OPS")*Engagement_Register!$AB$7:$AB$39*Engagements!$Y$9:$Y$41))</f>
        <v>114.167019133524</v>
      </c>
      <c r="Z31" s="67" t="n">
        <f aca="false">IF(Z$5="A",Inputs_Actuals!Z140+Inputs_Actuals!Z141,SUMPRODUCT((Engagement_Register!$C$7:$C$39="OPS")*Engagement_Register!$AB$7:$AB$39*Engagements!$Z$9:$Z$41))</f>
        <v>34.3049786628734</v>
      </c>
      <c r="AA31" s="67" t="n">
        <f aca="false">IF(AA$5="A",Inputs_Actuals!AA140+Inputs_Actuals!AA141,SUMPRODUCT((Engagement_Register!$C$7:$C$39="OPS")*Engagement_Register!$AB$7:$AB$39*Engagements!$AA$9:$AA$41))</f>
        <v>0</v>
      </c>
      <c r="AB31" s="67" t="n">
        <f aca="false">IF(AB$5="A",Inputs_Actuals!AB140+Inputs_Actuals!AB141,SUMPRODUCT((Engagement_Register!$C$7:$C$39="OPS")*Engagement_Register!$AB$7:$AB$39*Engagements!$AB$9:$AB$41))</f>
        <v>0</v>
      </c>
    </row>
    <row r="32" customFormat="false" ht="15" hidden="false" customHeight="false" outlineLevel="0" collapsed="false">
      <c r="A32" s="29" t="s">
        <v>1018</v>
      </c>
      <c r="B32" s="60" t="s">
        <v>993</v>
      </c>
      <c r="C32" s="66" t="n">
        <f aca="false">SUM(E32:P32)</f>
        <v>169.976321315571</v>
      </c>
      <c r="D32" s="66" t="n">
        <f aca="false">SUM(Q32:AB32)</f>
        <v>2632.81362579693</v>
      </c>
      <c r="E32" s="72" t="n">
        <f aca="false">0</f>
        <v>0</v>
      </c>
      <c r="F32" s="72" t="n">
        <f aca="false">0</f>
        <v>0</v>
      </c>
      <c r="G32" s="72" t="n">
        <f aca="false">0</f>
        <v>0</v>
      </c>
      <c r="H32" s="72" t="n">
        <f aca="false">0</f>
        <v>0</v>
      </c>
      <c r="I32" s="72" t="n">
        <f aca="false">0</f>
        <v>0</v>
      </c>
      <c r="J32" s="72" t="n">
        <f aca="false">0</f>
        <v>0</v>
      </c>
      <c r="K32" s="72" t="n">
        <f aca="false">0</f>
        <v>0</v>
      </c>
      <c r="L32" s="72" t="n">
        <f aca="false">0</f>
        <v>0</v>
      </c>
      <c r="M32" s="67" t="n">
        <f aca="false">IF(Assumptions!M$186&gt;=Assumptions!$C$152,MAX(0,Assumptions!$F$67*M30-M31)*Assumptions!$F$168,0)</f>
        <v>0</v>
      </c>
      <c r="N32" s="67" t="n">
        <f aca="false">IF(Assumptions!N$186&gt;=Assumptions!$C$152,MAX(0,Assumptions!$F$67*N30-N31)*Assumptions!$F$168,0)</f>
        <v>0</v>
      </c>
      <c r="O32" s="67" t="n">
        <f aca="false">IF(Assumptions!O$186&gt;=Assumptions!$C$152,MAX(0,Assumptions!$F$67*O30-O31)*Assumptions!$F$168,0)</f>
        <v>63.51101134303</v>
      </c>
      <c r="P32" s="67" t="n">
        <f aca="false">IF(Assumptions!P$186&gt;=Assumptions!$C$152,MAX(0,Assumptions!$F$67*P30-P31)*Assumptions!$F$168,0)</f>
        <v>106.465309972541</v>
      </c>
      <c r="Q32" s="67" t="n">
        <f aca="false">IF(Assumptions!Q$186&gt;=Assumptions!$C$152,MAX(0,Assumptions!$F$67*Q30-Q31)*Assumptions!$F$168,0)</f>
        <v>99.1259066683178</v>
      </c>
      <c r="R32" s="67" t="n">
        <f aca="false">IF(Assumptions!R$186&gt;=Assumptions!$C$152,MAX(0,Assumptions!$F$67*R30-R31)*Assumptions!$F$168,0)</f>
        <v>102.273059787008</v>
      </c>
      <c r="S32" s="67" t="n">
        <f aca="false">IF(Assumptions!S$186&gt;=Assumptions!$C$152,MAX(0,Assumptions!$F$67*S30-S31)*Assumptions!$F$168,0)</f>
        <v>81.7897346966313</v>
      </c>
      <c r="T32" s="67" t="n">
        <f aca="false">IF(Assumptions!T$186&gt;=Assumptions!$C$152,MAX(0,Assumptions!$F$67*T30-T31)*Assumptions!$F$168,0)</f>
        <v>171.914684067274</v>
      </c>
      <c r="U32" s="67" t="n">
        <f aca="false">IF(Assumptions!U$186&gt;=Assumptions!$C$152,MAX(0,Assumptions!$F$67*U30-U31)*Assumptions!$F$168,0)</f>
        <v>131.026400827435</v>
      </c>
      <c r="V32" s="67" t="n">
        <f aca="false">IF(Assumptions!V$186&gt;=Assumptions!$C$152,MAX(0,Assumptions!$F$67*V30-V31)*Assumptions!$F$168,0)</f>
        <v>177.489755315561</v>
      </c>
      <c r="W32" s="67" t="n">
        <f aca="false">IF(Assumptions!W$186&gt;=Assumptions!$C$152,MAX(0,Assumptions!$F$67*W30-W31)*Assumptions!$F$168,0)</f>
        <v>232.305165223972</v>
      </c>
      <c r="X32" s="67" t="n">
        <f aca="false">IF(Assumptions!X$186&gt;=Assumptions!$C$152,MAX(0,Assumptions!$F$67*X30-X31)*Assumptions!$F$168,0)</f>
        <v>250.312492871557</v>
      </c>
      <c r="Y32" s="67" t="n">
        <f aca="false">IF(Assumptions!Y$186&gt;=Assumptions!$C$152,MAX(0,Assumptions!$F$67*Y30-Y31)*Assumptions!$F$168,0)</f>
        <v>295.121517723875</v>
      </c>
      <c r="Z32" s="67" t="n">
        <f aca="false">IF(Assumptions!Z$186&gt;=Assumptions!$C$152,MAX(0,Assumptions!$F$67*Z30-Z31)*Assumptions!$F$168,0)</f>
        <v>324.614619496741</v>
      </c>
      <c r="AA32" s="67" t="n">
        <f aca="false">IF(Assumptions!AA$186&gt;=Assumptions!$C$152,MAX(0,Assumptions!$F$67*AA30-AA31)*Assumptions!$F$168,0)</f>
        <v>368.245204787479</v>
      </c>
      <c r="AB32" s="67" t="n">
        <f aca="false">IF(Assumptions!AB$186&gt;=Assumptions!$C$152,MAX(0,Assumptions!$F$67*AB30-AB31)*Assumptions!$F$168,0)</f>
        <v>398.59508433108</v>
      </c>
    </row>
    <row r="33" customFormat="false" ht="15" hidden="false" customHeight="false" outlineLevel="0" collapsed="false">
      <c r="A33" s="29" t="s">
        <v>1019</v>
      </c>
      <c r="B33" s="60" t="s">
        <v>995</v>
      </c>
      <c r="C33" s="66" t="n">
        <f aca="false">SUM(E33:P33)</f>
        <v>5141.93396176501</v>
      </c>
      <c r="D33" s="66" t="n">
        <f aca="false">SUM(Q33:AB33)</f>
        <v>4678.27598534749</v>
      </c>
      <c r="E33" s="72" t="n">
        <f aca="false">E31+E32</f>
        <v>321.279</v>
      </c>
      <c r="F33" s="72" t="n">
        <f aca="false">F31+F32</f>
        <v>332.115</v>
      </c>
      <c r="G33" s="72" t="n">
        <f aca="false">G31+G32</f>
        <v>458.372</v>
      </c>
      <c r="H33" s="72" t="n">
        <f aca="false">H31+H32</f>
        <v>387.216</v>
      </c>
      <c r="I33" s="72" t="n">
        <f aca="false">I31+I32</f>
        <v>449.708</v>
      </c>
      <c r="J33" s="72" t="n">
        <f aca="false">J31+J32</f>
        <v>562.636</v>
      </c>
      <c r="K33" s="72" t="n">
        <f aca="false">K31+K32</f>
        <v>422.485</v>
      </c>
      <c r="L33" s="72" t="n">
        <f aca="false">L31+L32</f>
        <v>364.629</v>
      </c>
      <c r="M33" s="72" t="n">
        <f aca="false">M31+M32</f>
        <v>514.114317144966</v>
      </c>
      <c r="N33" s="72" t="n">
        <f aca="false">N31+N32</f>
        <v>439.248199219248</v>
      </c>
      <c r="O33" s="72" t="n">
        <f aca="false">O31+O32</f>
        <v>444.004374414243</v>
      </c>
      <c r="P33" s="72" t="n">
        <f aca="false">P31+P32</f>
        <v>446.127070986552</v>
      </c>
      <c r="Q33" s="72" t="n">
        <f aca="false">Q31+Q32</f>
        <v>379.831174454796</v>
      </c>
      <c r="R33" s="72" t="n">
        <f aca="false">R31+R32</f>
        <v>391.750367191814</v>
      </c>
      <c r="S33" s="72" t="n">
        <f aca="false">S31+S32</f>
        <v>427.216380997656</v>
      </c>
      <c r="T33" s="72" t="n">
        <f aca="false">T31+T32</f>
        <v>424.915912807601</v>
      </c>
      <c r="U33" s="72" t="n">
        <f aca="false">U31+U32</f>
        <v>323.854364353846</v>
      </c>
      <c r="V33" s="72" t="n">
        <f aca="false">V31+V32</f>
        <v>438.696429312331</v>
      </c>
      <c r="W33" s="72" t="n">
        <f aca="false">W31+W32</f>
        <v>409.817679538391</v>
      </c>
      <c r="X33" s="72" t="n">
        <f aca="false">X31+X32</f>
        <v>347.145252555488</v>
      </c>
      <c r="Y33" s="72" t="n">
        <f aca="false">Y31+Y32</f>
        <v>409.288536857398</v>
      </c>
      <c r="Z33" s="72" t="n">
        <f aca="false">Z31+Z32</f>
        <v>358.919598159615</v>
      </c>
      <c r="AA33" s="72" t="n">
        <f aca="false">AA31+AA32</f>
        <v>368.245204787479</v>
      </c>
      <c r="AB33" s="72" t="n">
        <f aca="false">AB31+AB32</f>
        <v>398.59508433108</v>
      </c>
    </row>
    <row r="34" customFormat="false" ht="15" hidden="false" customHeight="false" outlineLevel="0" collapsed="false">
      <c r="A34" s="29" t="s">
        <v>1020</v>
      </c>
      <c r="B34" s="60" t="s">
        <v>997</v>
      </c>
      <c r="C34" s="66" t="n">
        <f aca="false">SUM(E34:P34)</f>
        <v>4801.79396176501</v>
      </c>
      <c r="D34" s="66" t="n">
        <f aca="false">SUM(Q34:AB34)</f>
        <v>4678.27598534749</v>
      </c>
      <c r="E34" s="67" t="n">
        <f aca="false">IF(E$5="A",Inputs_Actuals!E140,MIN(E33,E30*Assumptions!$C$83))</f>
        <v>321.2</v>
      </c>
      <c r="F34" s="67" t="n">
        <f aca="false">IF(F$5="A",Inputs_Actuals!F140,MIN(F33,F30*Assumptions!$C$83))</f>
        <v>332.1</v>
      </c>
      <c r="G34" s="67" t="n">
        <f aca="false">IF(G$5="A",Inputs_Actuals!G140,MIN(G33,G30*Assumptions!$C$83))</f>
        <v>458.3</v>
      </c>
      <c r="H34" s="67" t="n">
        <f aca="false">IF(H$5="A",Inputs_Actuals!H140,MIN(H33,H30*Assumptions!$C$83))</f>
        <v>360.1</v>
      </c>
      <c r="I34" s="67" t="n">
        <f aca="false">IF(I$5="A",Inputs_Actuals!I140,MIN(I33,I30*Assumptions!$C$83))</f>
        <v>304.6</v>
      </c>
      <c r="J34" s="67" t="n">
        <f aca="false">IF(J$5="A",Inputs_Actuals!J140,MIN(J33,J30*Assumptions!$C$83))</f>
        <v>395</v>
      </c>
      <c r="K34" s="67" t="n">
        <f aca="false">IF(K$5="A",Inputs_Actuals!K140,MIN(K33,K30*Assumptions!$C$83))</f>
        <v>422.4</v>
      </c>
      <c r="L34" s="67" t="n">
        <f aca="false">IF(L$5="A",Inputs_Actuals!L140,MIN(L33,L30*Assumptions!$C$83))</f>
        <v>364.6</v>
      </c>
      <c r="M34" s="67" t="n">
        <f aca="false">IF(M$5="A",Inputs_Actuals!M140,MIN(M33,M30*Assumptions!$C$83))</f>
        <v>514.114317144966</v>
      </c>
      <c r="N34" s="67" t="n">
        <f aca="false">IF(N$5="A",Inputs_Actuals!N140,MIN(N33,N30*Assumptions!$C$83))</f>
        <v>439.248199219248</v>
      </c>
      <c r="O34" s="67" t="n">
        <f aca="false">IF(O$5="A",Inputs_Actuals!O140,MIN(O33,O30*Assumptions!$C$83))</f>
        <v>444.004374414243</v>
      </c>
      <c r="P34" s="67" t="n">
        <f aca="false">IF(P$5="A",Inputs_Actuals!P140,MIN(P33,P30*Assumptions!$C$83))</f>
        <v>446.127070986552</v>
      </c>
      <c r="Q34" s="67" t="n">
        <f aca="false">IF(Q$5="A",Inputs_Actuals!Q140,MIN(Q33,Q30*Assumptions!$C$83))</f>
        <v>379.831174454796</v>
      </c>
      <c r="R34" s="67" t="n">
        <f aca="false">IF(R$5="A",Inputs_Actuals!R140,MIN(R33,R30*Assumptions!$C$83))</f>
        <v>391.750367191814</v>
      </c>
      <c r="S34" s="67" t="n">
        <f aca="false">IF(S$5="A",Inputs_Actuals!S140,MIN(S33,S30*Assumptions!$C$83))</f>
        <v>427.216380997656</v>
      </c>
      <c r="T34" s="67" t="n">
        <f aca="false">IF(T$5="A",Inputs_Actuals!T140,MIN(T33,T30*Assumptions!$C$83))</f>
        <v>424.915912807601</v>
      </c>
      <c r="U34" s="67" t="n">
        <f aca="false">IF(U$5="A",Inputs_Actuals!U140,MIN(U33,U30*Assumptions!$C$83))</f>
        <v>323.854364353846</v>
      </c>
      <c r="V34" s="67" t="n">
        <f aca="false">IF(V$5="A",Inputs_Actuals!V140,MIN(V33,V30*Assumptions!$C$83))</f>
        <v>438.696429312331</v>
      </c>
      <c r="W34" s="67" t="n">
        <f aca="false">IF(W$5="A",Inputs_Actuals!W140,MIN(W33,W30*Assumptions!$C$83))</f>
        <v>409.817679538391</v>
      </c>
      <c r="X34" s="67" t="n">
        <f aca="false">IF(X$5="A",Inputs_Actuals!X140,MIN(X33,X30*Assumptions!$C$83))</f>
        <v>347.145252555488</v>
      </c>
      <c r="Y34" s="67" t="n">
        <f aca="false">IF(Y$5="A",Inputs_Actuals!Y140,MIN(Y33,Y30*Assumptions!$C$83))</f>
        <v>409.288536857398</v>
      </c>
      <c r="Z34" s="67" t="n">
        <f aca="false">IF(Z$5="A",Inputs_Actuals!Z140,MIN(Z33,Z30*Assumptions!$C$83))</f>
        <v>358.919598159615</v>
      </c>
      <c r="AA34" s="67" t="n">
        <f aca="false">IF(AA$5="A",Inputs_Actuals!AA140,MIN(AA33,AA30*Assumptions!$C$83))</f>
        <v>368.245204787479</v>
      </c>
      <c r="AB34" s="67" t="n">
        <f aca="false">IF(AB$5="A",Inputs_Actuals!AB140,MIN(AB33,AB30*Assumptions!$C$83))</f>
        <v>398.59508433108</v>
      </c>
    </row>
    <row r="35" customFormat="false" ht="15" hidden="false" customHeight="false" outlineLevel="0" collapsed="false">
      <c r="A35" s="29" t="s">
        <v>1021</v>
      </c>
      <c r="B35" s="60" t="s">
        <v>999</v>
      </c>
      <c r="C35" s="66" t="n">
        <f aca="false">SUM(E35:P35)</f>
        <v>340.14</v>
      </c>
      <c r="D35" s="66" t="n">
        <f aca="false">SUM(Q35:AB35)</f>
        <v>0</v>
      </c>
      <c r="E35" s="67" t="n">
        <f aca="false">IF(E$5="A",Inputs_Actuals!E141,E33-E34)</f>
        <v>0.079</v>
      </c>
      <c r="F35" s="67" t="n">
        <f aca="false">IF(F$5="A",Inputs_Actuals!F141,F33-F34)</f>
        <v>0.015</v>
      </c>
      <c r="G35" s="67" t="n">
        <f aca="false">IF(G$5="A",Inputs_Actuals!G141,G33-G34)</f>
        <v>0.072</v>
      </c>
      <c r="H35" s="67" t="n">
        <f aca="false">IF(H$5="A",Inputs_Actuals!H141,H33-H34)</f>
        <v>27.116</v>
      </c>
      <c r="I35" s="67" t="n">
        <f aca="false">IF(I$5="A",Inputs_Actuals!I141,I33-I34)</f>
        <v>145.108</v>
      </c>
      <c r="J35" s="67" t="n">
        <f aca="false">IF(J$5="A",Inputs_Actuals!J141,J33-J34)</f>
        <v>167.636</v>
      </c>
      <c r="K35" s="67" t="n">
        <f aca="false">IF(K$5="A",Inputs_Actuals!K141,K33-K34)</f>
        <v>0.085</v>
      </c>
      <c r="L35" s="67" t="n">
        <f aca="false">IF(L$5="A",Inputs_Actuals!L141,L33-L34)</f>
        <v>0.029</v>
      </c>
      <c r="M35" s="67" t="n">
        <f aca="false">IF(M$5="A",Inputs_Actuals!M141,M33-M34)</f>
        <v>0</v>
      </c>
      <c r="N35" s="67" t="n">
        <f aca="false">IF(N$5="A",Inputs_Actuals!N141,N33-N34)</f>
        <v>0</v>
      </c>
      <c r="O35" s="67" t="n">
        <f aca="false">IF(O$5="A",Inputs_Actuals!O141,O33-O34)</f>
        <v>0</v>
      </c>
      <c r="P35" s="67" t="n">
        <f aca="false">IF(P$5="A",Inputs_Actuals!P141,P33-P34)</f>
        <v>0</v>
      </c>
      <c r="Q35" s="67" t="n">
        <f aca="false">IF(Q$5="A",Inputs_Actuals!Q141,Q33-Q34)</f>
        <v>0</v>
      </c>
      <c r="R35" s="67" t="n">
        <f aca="false">IF(R$5="A",Inputs_Actuals!R141,R33-R34)</f>
        <v>0</v>
      </c>
      <c r="S35" s="67" t="n">
        <f aca="false">IF(S$5="A",Inputs_Actuals!S141,S33-S34)</f>
        <v>0</v>
      </c>
      <c r="T35" s="67" t="n">
        <f aca="false">IF(T$5="A",Inputs_Actuals!T141,T33-T34)</f>
        <v>0</v>
      </c>
      <c r="U35" s="67" t="n">
        <f aca="false">IF(U$5="A",Inputs_Actuals!U141,U33-U34)</f>
        <v>0</v>
      </c>
      <c r="V35" s="67" t="n">
        <f aca="false">IF(V$5="A",Inputs_Actuals!V141,V33-V34)</f>
        <v>0</v>
      </c>
      <c r="W35" s="67" t="n">
        <f aca="false">IF(W$5="A",Inputs_Actuals!W141,W33-W34)</f>
        <v>0</v>
      </c>
      <c r="X35" s="67" t="n">
        <f aca="false">IF(X$5="A",Inputs_Actuals!X141,X33-X34)</f>
        <v>0</v>
      </c>
      <c r="Y35" s="67" t="n">
        <f aca="false">IF(Y$5="A",Inputs_Actuals!Y141,Y33-Y34)</f>
        <v>0</v>
      </c>
      <c r="Z35" s="67" t="n">
        <f aca="false">IF(Z$5="A",Inputs_Actuals!Z141,Z33-Z34)</f>
        <v>0</v>
      </c>
      <c r="AA35" s="67" t="n">
        <f aca="false">IF(AA$5="A",Inputs_Actuals!AA141,AA33-AA34)</f>
        <v>0</v>
      </c>
      <c r="AB35" s="67" t="n">
        <f aca="false">IF(AB$5="A",Inputs_Actuals!AB141,AB33-AB34)</f>
        <v>0</v>
      </c>
    </row>
    <row r="36" customFormat="false" ht="15" hidden="false" customHeight="false" outlineLevel="0" collapsed="false">
      <c r="A36" s="29" t="s">
        <v>1022</v>
      </c>
      <c r="B36" s="60" t="s">
        <v>1001</v>
      </c>
      <c r="C36" s="63" t="n">
        <f aca="false">IF(C30=0,0,C34/C30)</f>
        <v>0.766486685170011</v>
      </c>
      <c r="D36" s="63" t="n">
        <f aca="false">IF(D30=0,0,D34/D30)</f>
        <v>0.718860886801504</v>
      </c>
      <c r="E36" s="64" t="n">
        <f aca="false">IF(E30=0,0,E34/E30)</f>
        <v>0.590441176470588</v>
      </c>
      <c r="F36" s="64" t="n">
        <f aca="false">IF(F30=0,0,F34/F30)</f>
        <v>0.628977272727273</v>
      </c>
      <c r="G36" s="64" t="n">
        <f aca="false">IF(G30=0,0,G34/G30)</f>
        <v>0.765875668449198</v>
      </c>
      <c r="H36" s="64" t="n">
        <f aca="false">IF(H30=0,0,H34/H30)</f>
        <v>0.909343434343435</v>
      </c>
      <c r="I36" s="64" t="n">
        <f aca="false">IF(I30=0,0,I34/I30)</f>
        <v>0.900118203309693</v>
      </c>
      <c r="J36" s="64" t="n">
        <f aca="false">IF(J30=0,0,J34/J30)</f>
        <v>0.909300184162063</v>
      </c>
      <c r="K36" s="64" t="n">
        <f aca="false">IF(K30=0,0,K34/K30)</f>
        <v>0.676923076923077</v>
      </c>
      <c r="L36" s="64" t="n">
        <f aca="false">IF(L30=0,0,L34/L30)</f>
        <v>0.749588815789474</v>
      </c>
      <c r="M36" s="64" t="n">
        <f aca="false">IF(M30=0,0,M34/M30)</f>
        <v>0.851803163140311</v>
      </c>
      <c r="N36" s="64" t="n">
        <f aca="false">IF(N30=0,0,N34/N30)</f>
        <v>0.765011528286381</v>
      </c>
      <c r="O36" s="64" t="n">
        <f aca="false">IF(O30=0,0,O34/O30)</f>
        <v>0.791688925153111</v>
      </c>
      <c r="P36" s="64" t="n">
        <f aca="false">IF(P30=0,0,P34/P30)</f>
        <v>0.773832483722544</v>
      </c>
      <c r="Q36" s="64" t="n">
        <f aca="false">IF(Q30=0,0,Q34/Q30)</f>
        <v>0.769777124341858</v>
      </c>
      <c r="R36" s="64" t="n">
        <f aca="false">IF(R30=0,0,R34/R30)</f>
        <v>0.769760265558008</v>
      </c>
      <c r="S36" s="64" t="n">
        <f aca="false">IF(S30=0,0,S34/S30)</f>
        <v>0.782545787568063</v>
      </c>
      <c r="T36" s="64" t="n">
        <f aca="false">IF(T30=0,0,T34/T30)</f>
        <v>0.744678524923861</v>
      </c>
      <c r="U36" s="64" t="n">
        <f aca="false">IF(U30=0,0,U34/U30)</f>
        <v>0.744678669926169</v>
      </c>
      <c r="V36" s="64" t="n">
        <f aca="false">IF(V30=0,0,V34/V30)</f>
        <v>0.744678648864921</v>
      </c>
      <c r="W36" s="64" t="n">
        <f aca="false">IF(W30=0,0,W34/W30)</f>
        <v>0.718219336348848</v>
      </c>
      <c r="X36" s="64" t="n">
        <f aca="false">IF(X30=0,0,X34/X30)</f>
        <v>0.69475925448039</v>
      </c>
      <c r="Y36" s="64" t="n">
        <f aca="false">IF(Y30=0,0,Y34/Y30)</f>
        <v>0.694759254645813</v>
      </c>
      <c r="Z36" s="64" t="n">
        <f aca="false">IF(Z30=0,0,Z34/Z30)</f>
        <v>0.66878427275897</v>
      </c>
      <c r="AA36" s="64" t="n">
        <f aca="false">IF(AA30=0,0,AA34/AA30)</f>
        <v>0.656</v>
      </c>
      <c r="AB36" s="64" t="n">
        <f aca="false">IF(AB30=0,0,AB34/AB30)</f>
        <v>0.656</v>
      </c>
    </row>
    <row r="37" customFormat="false" ht="15" hidden="false" customHeight="false" outlineLevel="0" collapsed="false">
      <c r="A37" s="29" t="s">
        <v>1023</v>
      </c>
      <c r="B37" s="60" t="s">
        <v>989</v>
      </c>
      <c r="C37" s="66" t="n">
        <f aca="false">SUM(E37:P37)</f>
        <v>7238.48278492188</v>
      </c>
      <c r="D37" s="66" t="n">
        <f aca="false">SUM(Q37:AB37)</f>
        <v>8718.82860768262</v>
      </c>
      <c r="E37" s="67" t="n">
        <f aca="false">(People!E52)*Assumptions!E$200</f>
        <v>544</v>
      </c>
      <c r="F37" s="67" t="n">
        <f aca="false">(People!F52)*Assumptions!F$200</f>
        <v>528</v>
      </c>
      <c r="G37" s="67" t="n">
        <f aca="false">(People!G52)*Assumptions!G$200</f>
        <v>598.4</v>
      </c>
      <c r="H37" s="67" t="n">
        <f aca="false">(People!H52)*Assumptions!H$200</f>
        <v>528</v>
      </c>
      <c r="I37" s="67" t="n">
        <f aca="false">(People!I52)*Assumptions!I$200</f>
        <v>451.2</v>
      </c>
      <c r="J37" s="67" t="n">
        <f aca="false">(People!J52)*Assumptions!J$200</f>
        <v>579.2</v>
      </c>
      <c r="K37" s="67" t="n">
        <f aca="false">(People!K52)*Assumptions!K$200</f>
        <v>624</v>
      </c>
      <c r="L37" s="67" t="n">
        <f aca="false">(People!L52)*Assumptions!L$200</f>
        <v>486.4</v>
      </c>
      <c r="M37" s="67" t="n">
        <f aca="false">(People!M52)*Assumptions!M$200</f>
        <v>756.36</v>
      </c>
      <c r="N37" s="67" t="n">
        <f aca="false">(People!N52)*Assumptions!N$200</f>
        <v>719.532</v>
      </c>
      <c r="O37" s="67" t="n">
        <f aca="false">(People!O52)*Assumptions!O$200</f>
        <v>702.8146125</v>
      </c>
      <c r="P37" s="67" t="n">
        <f aca="false">(People!P52)*Assumptions!P$200</f>
        <v>720.576172421875</v>
      </c>
      <c r="Q37" s="67" t="n">
        <f aca="false">(People!Q52)*Assumptions!Q$200</f>
        <v>616.74906546875</v>
      </c>
      <c r="R37" s="67" t="n">
        <f aca="false">(People!R52)*Assumptions!R$200</f>
        <v>636.13759909259</v>
      </c>
      <c r="S37" s="67" t="n">
        <f aca="false">(People!S52)*Assumptions!S$200</f>
        <v>682.415956341321</v>
      </c>
      <c r="T37" s="67" t="n">
        <f aca="false">(People!T52)*Assumptions!T$200</f>
        <v>713.254738635067</v>
      </c>
      <c r="U37" s="67" t="n">
        <f aca="false">(People!U52)*Assumptions!U$200</f>
        <v>543.614453022684</v>
      </c>
      <c r="V37" s="67" t="n">
        <f aca="false">(People!V52)*Assumptions!V$200</f>
        <v>736.385434749056</v>
      </c>
      <c r="W37" s="67" t="n">
        <f aca="false">(People!W52)*Assumptions!W$200</f>
        <v>713.252991845287</v>
      </c>
      <c r="X37" s="67" t="n">
        <f aca="false">(People!X52)*Assumptions!X$200</f>
        <v>624.578314682085</v>
      </c>
      <c r="Y37" s="67" t="n">
        <f aca="false">(People!Y52)*Assumptions!Y$200</f>
        <v>889.185543751086</v>
      </c>
      <c r="Z37" s="67" t="n">
        <f aca="false">(People!Z52)*Assumptions!Z$200</f>
        <v>808.30337369429</v>
      </c>
      <c r="AA37" s="67" t="n">
        <f aca="false">(People!AA52)*Assumptions!AA$200</f>
        <v>843.669496946416</v>
      </c>
      <c r="AB37" s="67" t="n">
        <f aca="false">(People!AB52)*Assumptions!AB$200</f>
        <v>911.281639453982</v>
      </c>
    </row>
    <row r="38" customFormat="false" ht="15" hidden="false" customHeight="false" outlineLevel="0" collapsed="false">
      <c r="A38" s="29" t="s">
        <v>1024</v>
      </c>
      <c r="B38" s="60" t="s">
        <v>991</v>
      </c>
      <c r="C38" s="66" t="n">
        <f aca="false">SUM(E38:P38)</f>
        <v>5653.2151011236</v>
      </c>
      <c r="D38" s="66" t="n">
        <f aca="false">SUM(Q38:AB38)</f>
        <v>2355.3808988764</v>
      </c>
      <c r="E38" s="67" t="n">
        <f aca="false">IF(E$5="A",Inputs_Actuals!E142+Inputs_Actuals!E143,SUMPRODUCT((Engagement_Register!$C$7:$C$39="OPS")*Engagement_Register!$AC$7:$AC$39*Engagements!$E$9:$E$41))</f>
        <v>366.394</v>
      </c>
      <c r="F38" s="67" t="n">
        <f aca="false">IF(F$5="A",Inputs_Actuals!F142+Inputs_Actuals!F143,SUMPRODUCT((Engagement_Register!$C$7:$C$39="OPS")*Engagement_Register!$AC$7:$AC$39*Engagements!$F$9:$F$41))</f>
        <v>378.826</v>
      </c>
      <c r="G38" s="67" t="n">
        <f aca="false">IF(G$5="A",Inputs_Actuals!G142+Inputs_Actuals!G143,SUMPRODUCT((Engagement_Register!$C$7:$C$39="OPS")*Engagement_Register!$AC$7:$AC$39*Engagements!$G$9:$G$41))</f>
        <v>519.144</v>
      </c>
      <c r="H38" s="67" t="n">
        <f aca="false">IF(H$5="A",Inputs_Actuals!H142+Inputs_Actuals!H143,SUMPRODUCT((Engagement_Register!$C$7:$C$39="OPS")*Engagement_Register!$AC$7:$AC$39*Engagements!$H$9:$H$41))</f>
        <v>439.328</v>
      </c>
      <c r="I38" s="67" t="n">
        <f aca="false">IF(I$5="A",Inputs_Actuals!I142+Inputs_Actuals!I143,SUMPRODUCT((Engagement_Register!$C$7:$C$39="OPS")*Engagement_Register!$AC$7:$AC$39*Engagements!$I$9:$I$41))</f>
        <v>512.512</v>
      </c>
      <c r="J38" s="67" t="n">
        <f aca="false">IF(J$5="A",Inputs_Actuals!J142+Inputs_Actuals!J143,SUMPRODUCT((Engagement_Register!$C$7:$C$39="OPS")*Engagement_Register!$AC$7:$AC$39*Engagements!$J$9:$J$41))</f>
        <v>642.44</v>
      </c>
      <c r="K38" s="67" t="n">
        <f aca="false">IF(K$5="A",Inputs_Actuals!K142+Inputs_Actuals!K143,SUMPRODUCT((Engagement_Register!$C$7:$C$39="OPS")*Engagement_Register!$AC$7:$AC$39*Engagements!$K$9:$K$41))</f>
        <v>480.102</v>
      </c>
      <c r="L38" s="67" t="n">
        <f aca="false">IF(L$5="A",Inputs_Actuals!L142+Inputs_Actuals!L143,SUMPRODUCT((Engagement_Register!$C$7:$C$39="OPS")*Engagement_Register!$AC$7:$AC$39*Engagements!$L$9:$L$41))</f>
        <v>412.886</v>
      </c>
      <c r="M38" s="67" t="n">
        <f aca="false">IF(M$5="A",Inputs_Actuals!M142+Inputs_Actuals!M143,SUMPRODUCT((Engagement_Register!$C$7:$C$39="OPS")*Engagement_Register!$AC$7:$AC$39*Engagements!$M$9:$M$41))</f>
        <v>586.041938396342</v>
      </c>
      <c r="N38" s="67" t="n">
        <f aca="false">IF(N$5="A",Inputs_Actuals!N142+Inputs_Actuals!N143,SUMPRODUCT((Engagement_Register!$C$7:$C$39="OPS")*Engagement_Register!$AC$7:$AC$39*Engagements!$N$9:$N$41))</f>
        <v>496.375444398517</v>
      </c>
      <c r="O38" s="67" t="n">
        <f aca="false">IF(O$5="A",Inputs_Actuals!O142+Inputs_Actuals!O143,SUMPRODUCT((Engagement_Register!$C$7:$C$39="OPS")*Engagement_Register!$AC$7:$AC$39*Engagements!$O$9:$O$41))</f>
        <v>431.775750333316</v>
      </c>
      <c r="P38" s="67" t="n">
        <f aca="false">IF(P$5="A",Inputs_Actuals!P142+Inputs_Actuals!P143,SUMPRODUCT((Engagement_Register!$C$7:$C$39="OPS")*Engagement_Register!$AC$7:$AC$39*Engagements!$P$9:$P$41))</f>
        <v>387.389967995421</v>
      </c>
      <c r="Q38" s="67" t="n">
        <f aca="false">IF(Q$5="A",Inputs_Actuals!Q142+Inputs_Actuals!Q143,SUMPRODUCT((Engagement_Register!$C$7:$C$39="OPS")*Engagement_Register!$AC$7:$AC$39*Engagements!$Q$9:$Q$41))</f>
        <v>323.236368966247</v>
      </c>
      <c r="R38" s="67" t="n">
        <f aca="false">IF(R$5="A",Inputs_Actuals!R142+Inputs_Actuals!R143,SUMPRODUCT((Engagement_Register!$C$7:$C$39="OPS")*Engagement_Register!$AC$7:$AC$39*Engagements!$R$9:$R$41))</f>
        <v>333.337505496442</v>
      </c>
      <c r="S38" s="67" t="n">
        <f aca="false">IF(S$5="A",Inputs_Actuals!S142+Inputs_Actuals!S143,SUMPRODUCT((Engagement_Register!$C$7:$C$39="OPS")*Engagement_Register!$AC$7:$AC$39*Engagements!$S$9:$S$41))</f>
        <v>397.764016952695</v>
      </c>
      <c r="T38" s="67" t="n">
        <f aca="false">IF(T$5="A",Inputs_Actuals!T142+Inputs_Actuals!T143,SUMPRODUCT((Engagement_Register!$C$7:$C$39="OPS")*Engagement_Register!$AC$7:$AC$39*Engagements!$T$9:$T$41))</f>
        <v>291.334748246437</v>
      </c>
      <c r="U38" s="67" t="n">
        <f aca="false">IF(U$5="A",Inputs_Actuals!U142+Inputs_Actuals!U143,SUMPRODUCT((Engagement_Register!$C$7:$C$39="OPS")*Engagement_Register!$AC$7:$AC$39*Engagements!$U$9:$U$41))</f>
        <v>222.044321636473</v>
      </c>
      <c r="V38" s="67" t="n">
        <f aca="false">IF(V$5="A",Inputs_Actuals!V142+Inputs_Actuals!V143,SUMPRODUCT((Engagement_Register!$C$7:$C$39="OPS")*Engagement_Register!$AC$7:$AC$39*Engagements!$V$9:$V$41))</f>
        <v>300.783442784159</v>
      </c>
      <c r="W38" s="67" t="n">
        <f aca="false">IF(W$5="A",Inputs_Actuals!W142+Inputs_Actuals!W143,SUMPRODUCT((Engagement_Register!$C$7:$C$39="OPS")*Engagement_Register!$AC$7:$AC$39*Engagements!$W$9:$W$41))</f>
        <v>204.408349816604</v>
      </c>
      <c r="X38" s="67" t="n">
        <f aca="false">IF(X$5="A",Inputs_Actuals!X142+Inputs_Actuals!X143,SUMPRODUCT((Engagement_Register!$C$7:$C$39="OPS")*Engagement_Register!$AC$7:$AC$39*Engagements!$X$9:$X$41))</f>
        <v>111.504389939072</v>
      </c>
      <c r="Y38" s="67" t="n">
        <f aca="false">IF(Y$5="A",Inputs_Actuals!Y142+Inputs_Actuals!Y143,SUMPRODUCT((Engagement_Register!$C$7:$C$39="OPS")*Engagement_Register!$AC$7:$AC$39*Engagements!$Y$9:$Y$41))</f>
        <v>131.465052335573</v>
      </c>
      <c r="Z38" s="67" t="n">
        <f aca="false">IF(Z$5="A",Inputs_Actuals!Z142+Inputs_Actuals!Z143,SUMPRODUCT((Engagement_Register!$C$7:$C$39="OPS")*Engagement_Register!$AC$7:$AC$39*Engagements!$Z$9:$Z$41))</f>
        <v>39.5027027027027</v>
      </c>
      <c r="AA38" s="67" t="n">
        <f aca="false">IF(AA$5="A",Inputs_Actuals!AA142+Inputs_Actuals!AA143,SUMPRODUCT((Engagement_Register!$C$7:$C$39="OPS")*Engagement_Register!$AC$7:$AC$39*Engagements!$AA$9:$AA$41))</f>
        <v>0</v>
      </c>
      <c r="AB38" s="67" t="n">
        <f aca="false">IF(AB$5="A",Inputs_Actuals!AB142+Inputs_Actuals!AB143,SUMPRODUCT((Engagement_Register!$C$7:$C$39="OPS")*Engagement_Register!$AC$7:$AC$39*Engagements!$AB$9:$AB$41))</f>
        <v>0</v>
      </c>
    </row>
    <row r="39" customFormat="false" ht="15" hidden="false" customHeight="false" outlineLevel="0" collapsed="false">
      <c r="A39" s="29" t="s">
        <v>1025</v>
      </c>
      <c r="B39" s="60" t="s">
        <v>993</v>
      </c>
      <c r="C39" s="66" t="n">
        <f aca="false">SUM(E39:P39)</f>
        <v>278.411780245761</v>
      </c>
      <c r="D39" s="66" t="n">
        <f aca="false">SUM(Q39:AB39)</f>
        <v>3835.24684753867</v>
      </c>
      <c r="E39" s="72" t="n">
        <f aca="false">0</f>
        <v>0</v>
      </c>
      <c r="F39" s="72" t="n">
        <f aca="false">0</f>
        <v>0</v>
      </c>
      <c r="G39" s="72" t="n">
        <f aca="false">0</f>
        <v>0</v>
      </c>
      <c r="H39" s="72" t="n">
        <f aca="false">0</f>
        <v>0</v>
      </c>
      <c r="I39" s="72" t="n">
        <f aca="false">0</f>
        <v>0</v>
      </c>
      <c r="J39" s="72" t="n">
        <f aca="false">0</f>
        <v>0</v>
      </c>
      <c r="K39" s="72" t="n">
        <f aca="false">0</f>
        <v>0</v>
      </c>
      <c r="L39" s="72" t="n">
        <f aca="false">0</f>
        <v>0</v>
      </c>
      <c r="M39" s="67" t="n">
        <f aca="false">IF(Assumptions!M$186&gt;=Assumptions!$C$152,MAX(0,Assumptions!$F$68*M37-M38)*Assumptions!$F$168,0)</f>
        <v>0</v>
      </c>
      <c r="N39" s="67" t="n">
        <f aca="false">IF(Assumptions!N$186&gt;=Assumptions!$C$152,MAX(0,Assumptions!$F$68*N37-N38)*Assumptions!$F$168,0)</f>
        <v>0</v>
      </c>
      <c r="O39" s="67" t="n">
        <f aca="false">IF(Assumptions!O$186&gt;=Assumptions!$C$152,MAX(0,Assumptions!$F$68*O37-O38)*Assumptions!$F$168,0)</f>
        <v>115.625785533347</v>
      </c>
      <c r="P39" s="67" t="n">
        <f aca="false">IF(Assumptions!P$186&gt;=Assumptions!$C$152,MAX(0,Assumptions!$F$68*P37-P38)*Assumptions!$F$168,0)</f>
        <v>162.785994712413</v>
      </c>
      <c r="Q39" s="67" t="n">
        <f aca="false">IF(Assumptions!Q$186&gt;=Assumptions!$C$152,MAX(0,Assumptions!$F$68*Q37-Q38)*Assumptions!$F$168,0)</f>
        <v>145.998291774502</v>
      </c>
      <c r="R39" s="67" t="n">
        <f aca="false">IF(Assumptions!R$186&gt;=Assumptions!$C$152,MAX(0,Assumptions!$F$68*R37-R38)*Assumptions!$F$168,0)</f>
        <v>150.636260607585</v>
      </c>
      <c r="S39" s="67" t="n">
        <f aca="false">IF(Assumptions!S$186&gt;=Assumptions!$C$152,MAX(0,Assumptions!$F$68*S37-S38)*Assumptions!$F$168,0)</f>
        <v>129.453653797751</v>
      </c>
      <c r="T39" s="67" t="n">
        <f aca="false">IF(Assumptions!T$186&gt;=Assumptions!$C$152,MAX(0,Assumptions!$F$68*T37-T38)*Assumptions!$F$168,0)</f>
        <v>234.827309947455</v>
      </c>
      <c r="U39" s="67" t="n">
        <f aca="false">IF(Assumptions!U$186&gt;=Assumptions!$C$152,MAX(0,Assumptions!$F$68*U37-U38)*Assumptions!$F$168,0)</f>
        <v>178.975623873702</v>
      </c>
      <c r="V39" s="67" t="n">
        <f aca="false">IF(Assumptions!V$186&gt;=Assumptions!$C$152,MAX(0,Assumptions!$F$68*V37-V38)*Assumptions!$F$168,0)</f>
        <v>242.442090968053</v>
      </c>
      <c r="W39" s="67" t="n">
        <f aca="false">IF(Assumptions!W$186&gt;=Assumptions!$C$152,MAX(0,Assumptions!$F$68*W37-W38)*Assumptions!$F$168,0)</f>
        <v>304.367282797225</v>
      </c>
      <c r="X39" s="67" t="n">
        <f aca="false">IF(Assumptions!X$186&gt;=Assumptions!$C$152,MAX(0,Assumptions!$F$68*X37-X38)*Assumptions!$F$168,0)</f>
        <v>320.51986248019</v>
      </c>
      <c r="Y39" s="67" t="n">
        <f aca="false">IF(Assumptions!Y$186&gt;=Assumptions!$C$152,MAX(0,Assumptions!$F$68*Y37-Y38)*Assumptions!$F$168,0)</f>
        <v>478.133674832254</v>
      </c>
      <c r="Z39" s="67" t="n">
        <f aca="false">IF(Assumptions!Z$186&gt;=Assumptions!$C$152,MAX(0,Assumptions!$F$68*Z37-Z38)*Assumptions!$F$168,0)</f>
        <v>498.644850981292</v>
      </c>
      <c r="AA39" s="67" t="n">
        <f aca="false">IF(Assumptions!AA$186&gt;=Assumptions!$C$152,MAX(0,Assumptions!$F$68*AA37-AA38)*Assumptions!$F$168,0)</f>
        <v>553.447189996849</v>
      </c>
      <c r="AB39" s="67" t="n">
        <f aca="false">IF(Assumptions!AB$186&gt;=Assumptions!$C$152,MAX(0,Assumptions!$F$68*AB37-AB38)*Assumptions!$F$168,0)</f>
        <v>597.800755481812</v>
      </c>
    </row>
    <row r="40" customFormat="false" ht="15" hidden="false" customHeight="false" outlineLevel="0" collapsed="false">
      <c r="A40" s="29" t="s">
        <v>1026</v>
      </c>
      <c r="B40" s="60" t="s">
        <v>995</v>
      </c>
      <c r="C40" s="66" t="n">
        <f aca="false">SUM(E40:P40)</f>
        <v>5931.62688136936</v>
      </c>
      <c r="D40" s="66" t="n">
        <f aca="false">SUM(Q40:AB40)</f>
        <v>6190.62774641508</v>
      </c>
      <c r="E40" s="72" t="n">
        <f aca="false">E38+E39</f>
        <v>366.394</v>
      </c>
      <c r="F40" s="72" t="n">
        <f aca="false">F38+F39</f>
        <v>378.826</v>
      </c>
      <c r="G40" s="72" t="n">
        <f aca="false">G38+G39</f>
        <v>519.144</v>
      </c>
      <c r="H40" s="72" t="n">
        <f aca="false">H38+H39</f>
        <v>439.328</v>
      </c>
      <c r="I40" s="72" t="n">
        <f aca="false">I38+I39</f>
        <v>512.512</v>
      </c>
      <c r="J40" s="72" t="n">
        <f aca="false">J38+J39</f>
        <v>642.44</v>
      </c>
      <c r="K40" s="72" t="n">
        <f aca="false">K38+K39</f>
        <v>480.102</v>
      </c>
      <c r="L40" s="72" t="n">
        <f aca="false">L38+L39</f>
        <v>412.886</v>
      </c>
      <c r="M40" s="72" t="n">
        <f aca="false">M38+M39</f>
        <v>586.041938396342</v>
      </c>
      <c r="N40" s="72" t="n">
        <f aca="false">N38+N39</f>
        <v>496.375444398517</v>
      </c>
      <c r="O40" s="72" t="n">
        <f aca="false">O38+O39</f>
        <v>547.401535866663</v>
      </c>
      <c r="P40" s="72" t="n">
        <f aca="false">P38+P39</f>
        <v>550.175962707834</v>
      </c>
      <c r="Q40" s="72" t="n">
        <f aca="false">Q38+Q39</f>
        <v>469.234660740749</v>
      </c>
      <c r="R40" s="72" t="n">
        <f aca="false">R38+R39</f>
        <v>483.973766104028</v>
      </c>
      <c r="S40" s="72" t="n">
        <f aca="false">S38+S39</f>
        <v>527.217670750446</v>
      </c>
      <c r="T40" s="72" t="n">
        <f aca="false">T38+T39</f>
        <v>526.162058193892</v>
      </c>
      <c r="U40" s="72" t="n">
        <f aca="false">U38+U39</f>
        <v>401.019945510175</v>
      </c>
      <c r="V40" s="72" t="n">
        <f aca="false">V38+V39</f>
        <v>543.225533752212</v>
      </c>
      <c r="W40" s="72" t="n">
        <f aca="false">W38+W39</f>
        <v>508.775632613829</v>
      </c>
      <c r="X40" s="72" t="n">
        <f aca="false">X38+X39</f>
        <v>432.024252419262</v>
      </c>
      <c r="Y40" s="72" t="n">
        <f aca="false">Y38+Y39</f>
        <v>609.598727167827</v>
      </c>
      <c r="Z40" s="72" t="n">
        <f aca="false">Z38+Z39</f>
        <v>538.147553683995</v>
      </c>
      <c r="AA40" s="72" t="n">
        <f aca="false">AA38+AA39</f>
        <v>553.447189996849</v>
      </c>
      <c r="AB40" s="72" t="n">
        <f aca="false">AB38+AB39</f>
        <v>597.800755481812</v>
      </c>
    </row>
    <row r="41" customFormat="false" ht="15" hidden="false" customHeight="false" outlineLevel="0" collapsed="false">
      <c r="A41" s="29" t="s">
        <v>1027</v>
      </c>
      <c r="B41" s="60" t="s">
        <v>997</v>
      </c>
      <c r="C41" s="66" t="n">
        <f aca="false">SUM(E41:P41)</f>
        <v>5691.09488136936</v>
      </c>
      <c r="D41" s="66" t="n">
        <f aca="false">SUM(Q41:AB41)</f>
        <v>6190.62774641508</v>
      </c>
      <c r="E41" s="67" t="n">
        <f aca="false">IF(E$5="A",Inputs_Actuals!E142,MIN(E40,E37*Assumptions!$C$83))</f>
        <v>366.3</v>
      </c>
      <c r="F41" s="67" t="n">
        <f aca="false">IF(F$5="A",Inputs_Actuals!F142,MIN(F40,F37*Assumptions!$C$83))</f>
        <v>378.8</v>
      </c>
      <c r="G41" s="67" t="n">
        <f aca="false">IF(G$5="A",Inputs_Actuals!G142,MIN(G40,G37*Assumptions!$C$83))</f>
        <v>519.1</v>
      </c>
      <c r="H41" s="67" t="n">
        <f aca="false">IF(H$5="A",Inputs_Actuals!H142,MIN(H40,H37*Assumptions!$C$83))</f>
        <v>439.3</v>
      </c>
      <c r="I41" s="67" t="n">
        <f aca="false">IF(I$5="A",Inputs_Actuals!I142,MIN(I40,I37*Assumptions!$C$83))</f>
        <v>398.1</v>
      </c>
      <c r="J41" s="67" t="n">
        <f aca="false">IF(J$5="A",Inputs_Actuals!J142,MIN(J40,J37*Assumptions!$C$83))</f>
        <v>516.6</v>
      </c>
      <c r="K41" s="67" t="n">
        <f aca="false">IF(K$5="A",Inputs_Actuals!K142,MIN(K40,K37*Assumptions!$C$83))</f>
        <v>480.1</v>
      </c>
      <c r="L41" s="67" t="n">
        <f aca="false">IF(L$5="A",Inputs_Actuals!L142,MIN(L40,L37*Assumptions!$C$83))</f>
        <v>412.8</v>
      </c>
      <c r="M41" s="67" t="n">
        <f aca="false">IF(M$5="A",Inputs_Actuals!M142,MIN(M40,M37*Assumptions!$C$83))</f>
        <v>586.041938396342</v>
      </c>
      <c r="N41" s="67" t="n">
        <f aca="false">IF(N$5="A",Inputs_Actuals!N142,MIN(N40,N37*Assumptions!$C$83))</f>
        <v>496.375444398517</v>
      </c>
      <c r="O41" s="67" t="n">
        <f aca="false">IF(O$5="A",Inputs_Actuals!O142,MIN(O40,O37*Assumptions!$C$83))</f>
        <v>547.401535866663</v>
      </c>
      <c r="P41" s="67" t="n">
        <f aca="false">IF(P$5="A",Inputs_Actuals!P142,MIN(P40,P37*Assumptions!$C$83))</f>
        <v>550.175962707834</v>
      </c>
      <c r="Q41" s="67" t="n">
        <f aca="false">IF(Q$5="A",Inputs_Actuals!Q142,MIN(Q40,Q37*Assumptions!$C$83))</f>
        <v>469.234660740749</v>
      </c>
      <c r="R41" s="67" t="n">
        <f aca="false">IF(R$5="A",Inputs_Actuals!R142,MIN(R40,R37*Assumptions!$C$83))</f>
        <v>483.973766104028</v>
      </c>
      <c r="S41" s="67" t="n">
        <f aca="false">IF(S$5="A",Inputs_Actuals!S142,MIN(S40,S37*Assumptions!$C$83))</f>
        <v>527.217670750446</v>
      </c>
      <c r="T41" s="67" t="n">
        <f aca="false">IF(T$5="A",Inputs_Actuals!T142,MIN(T40,T37*Assumptions!$C$83))</f>
        <v>526.162058193892</v>
      </c>
      <c r="U41" s="67" t="n">
        <f aca="false">IF(U$5="A",Inputs_Actuals!U142,MIN(U40,U37*Assumptions!$C$83))</f>
        <v>401.019945510175</v>
      </c>
      <c r="V41" s="67" t="n">
        <f aca="false">IF(V$5="A",Inputs_Actuals!V142,MIN(V40,V37*Assumptions!$C$83))</f>
        <v>543.225533752212</v>
      </c>
      <c r="W41" s="67" t="n">
        <f aca="false">IF(W$5="A",Inputs_Actuals!W142,MIN(W40,W37*Assumptions!$C$83))</f>
        <v>508.775632613829</v>
      </c>
      <c r="X41" s="67" t="n">
        <f aca="false">IF(X$5="A",Inputs_Actuals!X142,MIN(X40,X37*Assumptions!$C$83))</f>
        <v>432.024252419262</v>
      </c>
      <c r="Y41" s="67" t="n">
        <f aca="false">IF(Y$5="A",Inputs_Actuals!Y142,MIN(Y40,Y37*Assumptions!$C$83))</f>
        <v>609.598727167827</v>
      </c>
      <c r="Z41" s="67" t="n">
        <f aca="false">IF(Z$5="A",Inputs_Actuals!Z142,MIN(Z40,Z37*Assumptions!$C$83))</f>
        <v>538.147553683995</v>
      </c>
      <c r="AA41" s="67" t="n">
        <f aca="false">IF(AA$5="A",Inputs_Actuals!AA142,MIN(AA40,AA37*Assumptions!$C$83))</f>
        <v>553.447189996849</v>
      </c>
      <c r="AB41" s="67" t="n">
        <f aca="false">IF(AB$5="A",Inputs_Actuals!AB142,MIN(AB40,AB37*Assumptions!$C$83))</f>
        <v>597.800755481812</v>
      </c>
    </row>
    <row r="42" customFormat="false" ht="15" hidden="false" customHeight="false" outlineLevel="0" collapsed="false">
      <c r="A42" s="29" t="s">
        <v>1028</v>
      </c>
      <c r="B42" s="60" t="s">
        <v>999</v>
      </c>
      <c r="C42" s="66" t="n">
        <f aca="false">SUM(E42:P42)</f>
        <v>240.532</v>
      </c>
      <c r="D42" s="66" t="n">
        <f aca="false">SUM(Q42:AB42)</f>
        <v>0</v>
      </c>
      <c r="E42" s="67" t="n">
        <f aca="false">IF(E$5="A",Inputs_Actuals!E143,E40-E41)</f>
        <v>0.094</v>
      </c>
      <c r="F42" s="67" t="n">
        <f aca="false">IF(F$5="A",Inputs_Actuals!F143,F40-F41)</f>
        <v>0.026</v>
      </c>
      <c r="G42" s="67" t="n">
        <f aca="false">IF(G$5="A",Inputs_Actuals!G143,G40-G41)</f>
        <v>0.044</v>
      </c>
      <c r="H42" s="67" t="n">
        <f aca="false">IF(H$5="A",Inputs_Actuals!H143,H40-H41)</f>
        <v>0.028</v>
      </c>
      <c r="I42" s="67" t="n">
        <f aca="false">IF(I$5="A",Inputs_Actuals!I143,I40-I41)</f>
        <v>114.412</v>
      </c>
      <c r="J42" s="67" t="n">
        <f aca="false">IF(J$5="A",Inputs_Actuals!J143,J40-J41)</f>
        <v>125.84</v>
      </c>
      <c r="K42" s="67" t="n">
        <f aca="false">IF(K$5="A",Inputs_Actuals!K143,K40-K41)</f>
        <v>0.002</v>
      </c>
      <c r="L42" s="67" t="n">
        <f aca="false">IF(L$5="A",Inputs_Actuals!L143,L40-L41)</f>
        <v>0.086</v>
      </c>
      <c r="M42" s="67" t="n">
        <f aca="false">IF(M$5="A",Inputs_Actuals!M143,M40-M41)</f>
        <v>0</v>
      </c>
      <c r="N42" s="67" t="n">
        <f aca="false">IF(N$5="A",Inputs_Actuals!N143,N40-N41)</f>
        <v>0</v>
      </c>
      <c r="O42" s="67" t="n">
        <f aca="false">IF(O$5="A",Inputs_Actuals!O143,O40-O41)</f>
        <v>0</v>
      </c>
      <c r="P42" s="67" t="n">
        <f aca="false">IF(P$5="A",Inputs_Actuals!P143,P40-P41)</f>
        <v>0</v>
      </c>
      <c r="Q42" s="67" t="n">
        <f aca="false">IF(Q$5="A",Inputs_Actuals!Q143,Q40-Q41)</f>
        <v>0</v>
      </c>
      <c r="R42" s="67" t="n">
        <f aca="false">IF(R$5="A",Inputs_Actuals!R143,R40-R41)</f>
        <v>0</v>
      </c>
      <c r="S42" s="67" t="n">
        <f aca="false">IF(S$5="A",Inputs_Actuals!S143,S40-S41)</f>
        <v>0</v>
      </c>
      <c r="T42" s="67" t="n">
        <f aca="false">IF(T$5="A",Inputs_Actuals!T143,T40-T41)</f>
        <v>0</v>
      </c>
      <c r="U42" s="67" t="n">
        <f aca="false">IF(U$5="A",Inputs_Actuals!U143,U40-U41)</f>
        <v>0</v>
      </c>
      <c r="V42" s="67" t="n">
        <f aca="false">IF(V$5="A",Inputs_Actuals!V143,V40-V41)</f>
        <v>0</v>
      </c>
      <c r="W42" s="67" t="n">
        <f aca="false">IF(W$5="A",Inputs_Actuals!W143,W40-W41)</f>
        <v>0</v>
      </c>
      <c r="X42" s="67" t="n">
        <f aca="false">IF(X$5="A",Inputs_Actuals!X143,X40-X41)</f>
        <v>0</v>
      </c>
      <c r="Y42" s="67" t="n">
        <f aca="false">IF(Y$5="A",Inputs_Actuals!Y143,Y40-Y41)</f>
        <v>0</v>
      </c>
      <c r="Z42" s="67" t="n">
        <f aca="false">IF(Z$5="A",Inputs_Actuals!Z143,Z40-Z41)</f>
        <v>0</v>
      </c>
      <c r="AA42" s="67" t="n">
        <f aca="false">IF(AA$5="A",Inputs_Actuals!AA143,AA40-AA41)</f>
        <v>0</v>
      </c>
      <c r="AB42" s="67" t="n">
        <f aca="false">IF(AB$5="A",Inputs_Actuals!AB143,AB40-AB41)</f>
        <v>0</v>
      </c>
    </row>
    <row r="43" customFormat="false" ht="15" hidden="false" customHeight="false" outlineLevel="0" collapsed="false">
      <c r="A43" s="29" t="s">
        <v>1029</v>
      </c>
      <c r="B43" s="60" t="s">
        <v>1001</v>
      </c>
      <c r="C43" s="63" t="n">
        <f aca="false">IF(C37=0,0,C41/C37)</f>
        <v>0.786227590845998</v>
      </c>
      <c r="D43" s="63" t="n">
        <f aca="false">IF(D37=0,0,D41/D37)</f>
        <v>0.710029755712848</v>
      </c>
      <c r="E43" s="64" t="n">
        <f aca="false">IF(E37=0,0,E41/E37)</f>
        <v>0.673345588235294</v>
      </c>
      <c r="F43" s="64" t="n">
        <f aca="false">IF(F37=0,0,F41/F37)</f>
        <v>0.717424242424242</v>
      </c>
      <c r="G43" s="64" t="n">
        <f aca="false">IF(G37=0,0,G41/G37)</f>
        <v>0.867479946524064</v>
      </c>
      <c r="H43" s="64" t="n">
        <f aca="false">IF(H37=0,0,H41/H37)</f>
        <v>0.832007575757576</v>
      </c>
      <c r="I43" s="64" t="n">
        <f aca="false">IF(I37=0,0,I41/I37)</f>
        <v>0.882313829787234</v>
      </c>
      <c r="J43" s="64" t="n">
        <f aca="false">IF(J37=0,0,J41/J37)</f>
        <v>0.891919889502762</v>
      </c>
      <c r="K43" s="64" t="n">
        <f aca="false">IF(K37=0,0,K41/K37)</f>
        <v>0.769391025641026</v>
      </c>
      <c r="L43" s="64" t="n">
        <f aca="false">IF(L37=0,0,L41/L37)</f>
        <v>0.848684210526316</v>
      </c>
      <c r="M43" s="64" t="n">
        <f aca="false">IF(M37=0,0,M41/M37)</f>
        <v>0.774818787873951</v>
      </c>
      <c r="N43" s="64" t="n">
        <f aca="false">IF(N37=0,0,N41/N37)</f>
        <v>0.689858747628343</v>
      </c>
      <c r="O43" s="64" t="n">
        <f aca="false">IF(O37=0,0,O41/O37)</f>
        <v>0.778870453361075</v>
      </c>
      <c r="P43" s="64" t="n">
        <f aca="false">IF(P37=0,0,P41/P37)</f>
        <v>0.763522280869597</v>
      </c>
      <c r="Q43" s="64" t="n">
        <f aca="false">IF(Q37=0,0,Q41/Q37)</f>
        <v>0.760819411025966</v>
      </c>
      <c r="R43" s="64" t="n">
        <f aca="false">IF(R37=0,0,R41/R37)</f>
        <v>0.760800441279348</v>
      </c>
      <c r="S43" s="64" t="n">
        <f aca="false">IF(S37=0,0,S41/S37)</f>
        <v>0.772575239267631</v>
      </c>
      <c r="T43" s="64" t="n">
        <f aca="false">IF(T37=0,0,T41/T37)</f>
        <v>0.737691640438017</v>
      </c>
      <c r="U43" s="64" t="n">
        <f aca="false">IF(U37=0,0,U41/U37)</f>
        <v>0.737691838913344</v>
      </c>
      <c r="V43" s="64" t="n">
        <f aca="false">IF(V37=0,0,V41/V37)</f>
        <v>0.737691850107454</v>
      </c>
      <c r="W43" s="64" t="n">
        <f aca="false">IF(W37=0,0,W41/W37)</f>
        <v>0.713317207822086</v>
      </c>
      <c r="X43" s="64" t="n">
        <f aca="false">IF(X37=0,0,X41/X37)</f>
        <v>0.691705495153423</v>
      </c>
      <c r="Y43" s="64" t="n">
        <f aca="false">IF(Y37=0,0,Y41/Y37)</f>
        <v>0.685569768258035</v>
      </c>
      <c r="Z43" s="64" t="n">
        <f aca="false">IF(Z37=0,0,Z41/Z37)</f>
        <v>0.665774226853009</v>
      </c>
      <c r="AA43" s="64" t="n">
        <f aca="false">IF(AA37=0,0,AA41/AA37)</f>
        <v>0.656</v>
      </c>
      <c r="AB43" s="64" t="n">
        <f aca="false">IF(AB37=0,0,AB41/AB37)</f>
        <v>0.656</v>
      </c>
    </row>
    <row r="44" customFormat="false" ht="15" hidden="false" customHeight="false" outlineLevel="0" collapsed="false">
      <c r="A44" s="29" t="s">
        <v>1030</v>
      </c>
      <c r="B44" s="60"/>
      <c r="C44" s="66" t="n">
        <f aca="false">SUM(E44:P44)</f>
        <v>22704.6226993101</v>
      </c>
      <c r="D44" s="66" t="n">
        <f aca="false">SUM(Q44:AB44)</f>
        <v>25192.8991946216</v>
      </c>
      <c r="E44" s="72" t="n">
        <f aca="false">E9+E16+E23+E30+E37</f>
        <v>1836</v>
      </c>
      <c r="F44" s="72" t="n">
        <f aca="false">F9+F16+F23+F30+F37</f>
        <v>1782</v>
      </c>
      <c r="G44" s="72" t="n">
        <f aca="false">G9+G16+G23+G30+G37</f>
        <v>2019.6</v>
      </c>
      <c r="H44" s="72" t="n">
        <f aca="false">H9+H16+H23+H30+H37</f>
        <v>1650</v>
      </c>
      <c r="I44" s="72" t="n">
        <f aca="false">I9+I16+I23+I30+I37</f>
        <v>1410</v>
      </c>
      <c r="J44" s="72" t="n">
        <f aca="false">J9+J16+J23+J30+J37</f>
        <v>1810</v>
      </c>
      <c r="K44" s="72" t="n">
        <f aca="false">K9+K16+K23+K30+K37</f>
        <v>2106</v>
      </c>
      <c r="L44" s="72" t="n">
        <f aca="false">L9+L16+L23+L30+L37</f>
        <v>1641.6</v>
      </c>
      <c r="M44" s="72" t="n">
        <f aca="false">M9+M16+M23+M30+M37</f>
        <v>2195.86333333333</v>
      </c>
      <c r="N44" s="72" t="n">
        <f aca="false">N9+N16+N23+N30+N37</f>
        <v>2094.75055555556</v>
      </c>
      <c r="O44" s="72" t="n">
        <f aca="false">O9+O16+O23+O30+O37</f>
        <v>2051.80479502315</v>
      </c>
      <c r="P44" s="72" t="n">
        <f aca="false">P9+P16+P23+P30+P37</f>
        <v>2107.0040153981</v>
      </c>
      <c r="Q44" s="72" t="n">
        <f aca="false">Q9+Q16+Q23+Q30+Q37</f>
        <v>1867.20793354536</v>
      </c>
      <c r="R44" s="72" t="n">
        <f aca="false">R9+R16+R23+R30+R37</f>
        <v>1925.22685622373</v>
      </c>
      <c r="S44" s="72" t="n">
        <f aca="false">S9+S16+S23+S30+S37</f>
        <v>2064.6641540269</v>
      </c>
      <c r="T44" s="72" t="n">
        <f aca="false">T9+T16+T23+T30+T37</f>
        <v>2157.3670379463</v>
      </c>
      <c r="U44" s="72" t="n">
        <f aca="false">U9+U16+U23+U30+U37</f>
        <v>1644.27296876455</v>
      </c>
      <c r="V44" s="72" t="n">
        <f aca="false">V9+V16+V23+V30+V37</f>
        <v>2227.35889754646</v>
      </c>
      <c r="W44" s="72" t="n">
        <f aca="false">W9+W16+W23+W30+W37</f>
        <v>2157.39449252444</v>
      </c>
      <c r="X44" s="72" t="n">
        <f aca="false">X9+X16+X23+X30+X37</f>
        <v>1889.17768866275</v>
      </c>
      <c r="Y44" s="72" t="n">
        <f aca="false">Y9+Y16+Y23+Y30+Y37</f>
        <v>2380.16368950764</v>
      </c>
      <c r="Z44" s="72" t="n">
        <f aca="false">Z9+Z16+Z23+Z30+Z37</f>
        <v>2166.57662253688</v>
      </c>
      <c r="AA44" s="72" t="n">
        <f aca="false">AA9+AA16+AA23+AA30+AA37</f>
        <v>2264.39209384013</v>
      </c>
      <c r="AB44" s="72" t="n">
        <f aca="false">AB9+AB16+AB23+AB30+AB37</f>
        <v>2449.09675949646</v>
      </c>
    </row>
    <row r="45" customFormat="false" ht="15" hidden="false" customHeight="false" outlineLevel="0" collapsed="false">
      <c r="A45" s="29" t="s">
        <v>1031</v>
      </c>
      <c r="B45" s="60"/>
      <c r="C45" s="66" t="n">
        <f aca="false">SUM(E45:P45)</f>
        <v>705.020039288817</v>
      </c>
      <c r="D45" s="66" t="n">
        <f aca="false">SUM(Q45:AB45)</f>
        <v>10100.7207566568</v>
      </c>
      <c r="E45" s="72" t="n">
        <f aca="false">E11+E18+E25+E32+E39</f>
        <v>0</v>
      </c>
      <c r="F45" s="72" t="n">
        <f aca="false">F11+F18+F25+F32+F39</f>
        <v>0</v>
      </c>
      <c r="G45" s="72" t="n">
        <f aca="false">G11+G18+G25+G32+G39</f>
        <v>0</v>
      </c>
      <c r="H45" s="72" t="n">
        <f aca="false">H11+H18+H25+H32+H39</f>
        <v>0</v>
      </c>
      <c r="I45" s="72" t="n">
        <f aca="false">I11+I18+I25+I32+I39</f>
        <v>0</v>
      </c>
      <c r="J45" s="72" t="n">
        <f aca="false">J11+J18+J25+J32+J39</f>
        <v>0</v>
      </c>
      <c r="K45" s="72" t="n">
        <f aca="false">K11+K18+K25+K32+K39</f>
        <v>0</v>
      </c>
      <c r="L45" s="72" t="n">
        <f aca="false">L11+L18+L25+L32+L39</f>
        <v>0</v>
      </c>
      <c r="M45" s="72" t="n">
        <f aca="false">M11+M18+M25+M32+M39</f>
        <v>0</v>
      </c>
      <c r="N45" s="72" t="n">
        <f aca="false">N11+N18+N25+N32+N39</f>
        <v>0</v>
      </c>
      <c r="O45" s="72" t="n">
        <f aca="false">O11+O18+O25+O32+O39</f>
        <v>282.837782851751</v>
      </c>
      <c r="P45" s="72" t="n">
        <f aca="false">P11+P18+P25+P32+P39</f>
        <v>422.182256437066</v>
      </c>
      <c r="Q45" s="72" t="n">
        <f aca="false">Q11+Q18+Q25+Q32+Q39</f>
        <v>433.067050163058</v>
      </c>
      <c r="R45" s="72" t="n">
        <f aca="false">R11+R18+R25+R32+R39</f>
        <v>446.412003249</v>
      </c>
      <c r="S45" s="72" t="n">
        <f aca="false">S11+S18+S25+S32+S39</f>
        <v>393.933791610237</v>
      </c>
      <c r="T45" s="72" t="n">
        <f aca="false">T11+T18+T25+T32+T39</f>
        <v>673.279210626148</v>
      </c>
      <c r="U45" s="72" t="n">
        <f aca="false">U11+U18+U25+U32+U39</f>
        <v>513.153491567836</v>
      </c>
      <c r="V45" s="72" t="n">
        <f aca="false">V11+V18+V25+V32+V39</f>
        <v>695.129061715233</v>
      </c>
      <c r="W45" s="72" t="n">
        <f aca="false">W11+W18+W25+W32+W39</f>
        <v>856.298488880811</v>
      </c>
      <c r="X45" s="72" t="n">
        <f aca="false">X11+X18+X25+X32+X39</f>
        <v>891.926023326603</v>
      </c>
      <c r="Y45" s="72" t="n">
        <f aca="false">Y11+Y18+Y25+Y32+Y39</f>
        <v>1151.828515624</v>
      </c>
      <c r="Z45" s="72" t="n">
        <f aca="false">Z11+Z18+Z25+Z32+Z39</f>
        <v>1217.13938316797</v>
      </c>
      <c r="AA45" s="72" t="n">
        <f aca="false">AA11+AA18+AA25+AA32+AA39</f>
        <v>1358.90801809913</v>
      </c>
      <c r="AB45" s="72" t="n">
        <f aca="false">AB11+AB18+AB25+AB32+AB39</f>
        <v>1469.6457186268</v>
      </c>
    </row>
    <row r="46" customFormat="false" ht="15" hidden="false" customHeight="false" outlineLevel="0" collapsed="false">
      <c r="A46" s="29" t="s">
        <v>1032</v>
      </c>
      <c r="B46" s="60"/>
      <c r="C46" s="66" t="n">
        <f aca="false">SUM(E46:P46)</f>
        <v>16028.949252772</v>
      </c>
      <c r="D46" s="66" t="n">
        <f aca="false">SUM(Q46:AB46)</f>
        <v>16299.0915431737</v>
      </c>
      <c r="E46" s="72" t="n">
        <f aca="false">E12+E19+E26+E33+E40</f>
        <v>986.3</v>
      </c>
      <c r="F46" s="72" t="n">
        <f aca="false">F12+F19+F26+F33+F40</f>
        <v>1019.3</v>
      </c>
      <c r="G46" s="72" t="n">
        <f aca="false">G12+G19+G26+G33+G40</f>
        <v>1420</v>
      </c>
      <c r="H46" s="72" t="n">
        <f aca="false">H12+H19+H26+H33+H40</f>
        <v>1196.8</v>
      </c>
      <c r="I46" s="72" t="n">
        <f aca="false">I12+I19+I26+I33+I40</f>
        <v>1381.8</v>
      </c>
      <c r="J46" s="72" t="n">
        <f aca="false">J12+J19+J26+J33+J40</f>
        <v>1724.4</v>
      </c>
      <c r="K46" s="72" t="n">
        <f aca="false">K12+K19+K26+K33+K40</f>
        <v>1303.1</v>
      </c>
      <c r="L46" s="72" t="n">
        <f aca="false">L12+L19+L26+L33+L40</f>
        <v>1129.9</v>
      </c>
      <c r="M46" s="72" t="n">
        <f aca="false">M12+M19+M26+M33+M40</f>
        <v>1579.23819961997</v>
      </c>
      <c r="N46" s="72" t="n">
        <f aca="false">N12+N19+N26+N33+N40</f>
        <v>1364.71769299992</v>
      </c>
      <c r="O46" s="72" t="n">
        <f aca="false">O12+O19+O26+O33+O40</f>
        <v>1458.59126788428</v>
      </c>
      <c r="P46" s="72" t="n">
        <f aca="false">P12+P19+P26+P33+P40</f>
        <v>1464.80209226779</v>
      </c>
      <c r="Q46" s="72" t="n">
        <f aca="false">Q12+Q19+Q26+Q33+Q40</f>
        <v>1283.68907375845</v>
      </c>
      <c r="R46" s="72" t="n">
        <f aca="false">R12+R19+R26+R33+R40</f>
        <v>1323.61596508174</v>
      </c>
      <c r="S46" s="72" t="n">
        <f aca="false">S12+S19+S26+S33+S40</f>
        <v>1440.68120464364</v>
      </c>
      <c r="T46" s="72" t="n">
        <f aca="false">T12+T19+T26+T33+T40</f>
        <v>1439.94960074835</v>
      </c>
      <c r="U46" s="72" t="n">
        <f aca="false">U12+U19+U26+U33+U40</f>
        <v>1097.48065376908</v>
      </c>
      <c r="V46" s="72" t="n">
        <f aca="false">V12+V19+V26+V33+V40</f>
        <v>1486.66443746302</v>
      </c>
      <c r="W46" s="72" t="n">
        <f aca="false">W12+W19+W26+W33+W40</f>
        <v>1394.2151989245</v>
      </c>
      <c r="X46" s="72" t="n">
        <f aca="false">X12+X19+X26+X33+X40</f>
        <v>1185.35862842942</v>
      </c>
      <c r="Y46" s="72" t="n">
        <f aca="false">Y12+Y19+Y26+Y33+Y40</f>
        <v>1497.78917966498</v>
      </c>
      <c r="Z46" s="72" t="n">
        <f aca="false">Z12+Z19+Z26+Z33+Z40</f>
        <v>1321.09386396455</v>
      </c>
      <c r="AA46" s="72" t="n">
        <f aca="false">AA12+AA19+AA26+AA33+AA40</f>
        <v>1358.90801809913</v>
      </c>
      <c r="AB46" s="72" t="n">
        <f aca="false">AB12+AB19+AB26+AB33+AB40</f>
        <v>1469.6457186268</v>
      </c>
    </row>
    <row r="47" customFormat="false" ht="15" hidden="false" customHeight="false" outlineLevel="0" collapsed="false">
      <c r="A47" s="68" t="s">
        <v>1033</v>
      </c>
      <c r="B47" s="69"/>
      <c r="C47" s="113" t="n">
        <f aca="false">SUM(E47:P47)</f>
        <v>15447.049252772</v>
      </c>
      <c r="D47" s="113" t="n">
        <f aca="false">SUM(Q47:AB47)</f>
        <v>16299.0915431737</v>
      </c>
      <c r="E47" s="113" t="n">
        <f aca="false">E13+E20+E27+E34+E41</f>
        <v>986</v>
      </c>
      <c r="F47" s="113" t="n">
        <f aca="false">F13+F20+F27+F34+F41</f>
        <v>1019.2</v>
      </c>
      <c r="G47" s="113" t="n">
        <f aca="false">G13+G20+G27+G34+G41</f>
        <v>1419.7</v>
      </c>
      <c r="H47" s="113" t="n">
        <f aca="false">H13+H20+H27+H34+H41</f>
        <v>1169.4</v>
      </c>
      <c r="I47" s="113" t="n">
        <f aca="false">I13+I20+I27+I34+I41</f>
        <v>1122.1</v>
      </c>
      <c r="J47" s="113" t="n">
        <f aca="false">J13+J20+J27+J34+J41</f>
        <v>1430.7</v>
      </c>
      <c r="K47" s="113" t="n">
        <f aca="false">K13+K20+K27+K34+K41</f>
        <v>1302.9</v>
      </c>
      <c r="L47" s="113" t="n">
        <f aca="false">L13+L20+L27+L34+L41</f>
        <v>1129.7</v>
      </c>
      <c r="M47" s="113" t="n">
        <f aca="false">M13+M20+M27+M34+M41</f>
        <v>1579.23819961997</v>
      </c>
      <c r="N47" s="113" t="n">
        <f aca="false">N13+N20+N27+N34+N41</f>
        <v>1364.71769299992</v>
      </c>
      <c r="O47" s="113" t="n">
        <f aca="false">O13+O20+O27+O34+O41</f>
        <v>1458.59126788428</v>
      </c>
      <c r="P47" s="113" t="n">
        <f aca="false">P13+P20+P27+P34+P41</f>
        <v>1464.80209226779</v>
      </c>
      <c r="Q47" s="113" t="n">
        <f aca="false">Q13+Q20+Q27+Q34+Q41</f>
        <v>1283.68907375845</v>
      </c>
      <c r="R47" s="113" t="n">
        <f aca="false">R13+R20+R27+R34+R41</f>
        <v>1323.61596508174</v>
      </c>
      <c r="S47" s="113" t="n">
        <f aca="false">S13+S20+S27+S34+S41</f>
        <v>1440.68120464364</v>
      </c>
      <c r="T47" s="113" t="n">
        <f aca="false">T13+T20+T27+T34+T41</f>
        <v>1439.94960074835</v>
      </c>
      <c r="U47" s="113" t="n">
        <f aca="false">U13+U20+U27+U34+U41</f>
        <v>1097.48065376908</v>
      </c>
      <c r="V47" s="113" t="n">
        <f aca="false">V13+V20+V27+V34+V41</f>
        <v>1486.66443746302</v>
      </c>
      <c r="W47" s="113" t="n">
        <f aca="false">W13+W20+W27+W34+W41</f>
        <v>1394.2151989245</v>
      </c>
      <c r="X47" s="113" t="n">
        <f aca="false">X13+X20+X27+X34+X41</f>
        <v>1185.35862842942</v>
      </c>
      <c r="Y47" s="113" t="n">
        <f aca="false">Y13+Y20+Y27+Y34+Y41</f>
        <v>1497.78917966498</v>
      </c>
      <c r="Z47" s="113" t="n">
        <f aca="false">Z13+Z20+Z27+Z34+Z41</f>
        <v>1321.09386396455</v>
      </c>
      <c r="AA47" s="113" t="n">
        <f aca="false">AA13+AA20+AA27+AA34+AA41</f>
        <v>1358.90801809913</v>
      </c>
      <c r="AB47" s="113" t="n">
        <f aca="false">AB13+AB20+AB27+AB34+AB41</f>
        <v>1469.6457186268</v>
      </c>
    </row>
    <row r="48" customFormat="false" ht="15" hidden="false" customHeight="false" outlineLevel="0" collapsed="false">
      <c r="A48" s="29" t="s">
        <v>1034</v>
      </c>
      <c r="B48" s="60"/>
      <c r="C48" s="66" t="n">
        <f aca="false">SUM(E48:P48)</f>
        <v>581.9</v>
      </c>
      <c r="D48" s="66" t="n">
        <f aca="false">SUM(Q48:AB48)</f>
        <v>0</v>
      </c>
      <c r="E48" s="72" t="n">
        <f aca="false">E14+E21+E28+E35+E42</f>
        <v>0.3</v>
      </c>
      <c r="F48" s="72" t="n">
        <f aca="false">F14+F21+F28+F35+F42</f>
        <v>0.1</v>
      </c>
      <c r="G48" s="72" t="n">
        <f aca="false">G14+G21+G28+G35+G42</f>
        <v>0.3</v>
      </c>
      <c r="H48" s="72" t="n">
        <f aca="false">H14+H21+H28+H35+H42</f>
        <v>27.4</v>
      </c>
      <c r="I48" s="72" t="n">
        <f aca="false">I14+I21+I28+I35+I42</f>
        <v>259.7</v>
      </c>
      <c r="J48" s="72" t="n">
        <f aca="false">J14+J21+J28+J35+J42</f>
        <v>293.7</v>
      </c>
      <c r="K48" s="72" t="n">
        <f aca="false">K14+K21+K28+K35+K42</f>
        <v>0.2</v>
      </c>
      <c r="L48" s="72" t="n">
        <f aca="false">L14+L21+L28+L35+L42</f>
        <v>0.2</v>
      </c>
      <c r="M48" s="72" t="n">
        <f aca="false">M14+M21+M28+M35+M42</f>
        <v>0</v>
      </c>
      <c r="N48" s="72" t="n">
        <f aca="false">N14+N21+N28+N35+N42</f>
        <v>0</v>
      </c>
      <c r="O48" s="72" t="n">
        <f aca="false">O14+O21+O28+O35+O42</f>
        <v>0</v>
      </c>
      <c r="P48" s="72" t="n">
        <f aca="false">P14+P21+P28+P35+P42</f>
        <v>0</v>
      </c>
      <c r="Q48" s="72" t="n">
        <f aca="false">Q14+Q21+Q28+Q35+Q42</f>
        <v>0</v>
      </c>
      <c r="R48" s="72" t="n">
        <f aca="false">R14+R21+R28+R35+R42</f>
        <v>0</v>
      </c>
      <c r="S48" s="72" t="n">
        <f aca="false">S14+S21+S28+S35+S42</f>
        <v>0</v>
      </c>
      <c r="T48" s="72" t="n">
        <f aca="false">T14+T21+T28+T35+T42</f>
        <v>0</v>
      </c>
      <c r="U48" s="72" t="n">
        <f aca="false">U14+U21+U28+U35+U42</f>
        <v>0</v>
      </c>
      <c r="V48" s="72" t="n">
        <f aca="false">V14+V21+V28+V35+V42</f>
        <v>0</v>
      </c>
      <c r="W48" s="72" t="n">
        <f aca="false">W14+W21+W28+W35+W42</f>
        <v>0</v>
      </c>
      <c r="X48" s="72" t="n">
        <f aca="false">X14+X21+X28+X35+X42</f>
        <v>0</v>
      </c>
      <c r="Y48" s="72" t="n">
        <f aca="false">Y14+Y21+Y28+Y35+Y42</f>
        <v>0</v>
      </c>
      <c r="Z48" s="72" t="n">
        <f aca="false">Z14+Z21+Z28+Z35+Z42</f>
        <v>0</v>
      </c>
      <c r="AA48" s="72" t="n">
        <f aca="false">AA14+AA21+AA28+AA35+AA42</f>
        <v>0</v>
      </c>
      <c r="AB48" s="72" t="n">
        <f aca="false">AB14+AB21+AB28+AB35+AB42</f>
        <v>0</v>
      </c>
    </row>
    <row r="49" customFormat="false" ht="15" hidden="false" customHeight="false" outlineLevel="0" collapsed="false">
      <c r="A49" s="68" t="s">
        <v>1035</v>
      </c>
      <c r="B49" s="69"/>
      <c r="C49" s="75" t="n">
        <f aca="false">IF(C44=0,0,C47/C44)</f>
        <v>0.680348202978124</v>
      </c>
      <c r="D49" s="75" t="n">
        <f aca="false">IF(D44=0,0,D47/D44)</f>
        <v>0.646971649323049</v>
      </c>
      <c r="E49" s="75" t="n">
        <f aca="false">IF(E44=0,0,E47/E44)</f>
        <v>0.537037037037037</v>
      </c>
      <c r="F49" s="75" t="n">
        <f aca="false">IF(F44=0,0,F47/F44)</f>
        <v>0.571941638608305</v>
      </c>
      <c r="G49" s="75" t="n">
        <f aca="false">IF(G44=0,0,G47/G44)</f>
        <v>0.702960982372747</v>
      </c>
      <c r="H49" s="75" t="n">
        <f aca="false">IF(H44=0,0,H47/H44)</f>
        <v>0.708727272727273</v>
      </c>
      <c r="I49" s="75" t="n">
        <f aca="false">IF(I44=0,0,I47/I44)</f>
        <v>0.795815602836879</v>
      </c>
      <c r="J49" s="75" t="n">
        <f aca="false">IF(J44=0,0,J47/J44)</f>
        <v>0.790441988950276</v>
      </c>
      <c r="K49" s="75" t="n">
        <f aca="false">IF(K44=0,0,K47/K44)</f>
        <v>0.618660968660969</v>
      </c>
      <c r="L49" s="75" t="n">
        <f aca="false">IF(L44=0,0,L47/L44)</f>
        <v>0.68817007797271</v>
      </c>
      <c r="M49" s="75" t="n">
        <f aca="false">IF(M44=0,0,M47/M44)</f>
        <v>0.719187836349849</v>
      </c>
      <c r="N49" s="75" t="n">
        <f aca="false">IF(N44=0,0,N47/N44)</f>
        <v>0.651494131069932</v>
      </c>
      <c r="O49" s="75" t="n">
        <f aca="false">IF(O44=0,0,O47/O44)</f>
        <v>0.71088208362815</v>
      </c>
      <c r="P49" s="75" t="n">
        <f aca="false">IF(P44=0,0,P47/P44)</f>
        <v>0.695206122799451</v>
      </c>
      <c r="Q49" s="75" t="n">
        <f aca="false">IF(Q44=0,0,Q47/Q44)</f>
        <v>0.687491227247004</v>
      </c>
      <c r="R49" s="75" t="n">
        <f aca="false">IF(R44=0,0,R47/R44)</f>
        <v>0.687511687676106</v>
      </c>
      <c r="S49" s="75" t="n">
        <f aca="false">IF(S44=0,0,S47/S44)</f>
        <v>0.697779927952813</v>
      </c>
      <c r="T49" s="75" t="n">
        <f aca="false">IF(T44=0,0,T47/T44)</f>
        <v>0.667456939603149</v>
      </c>
      <c r="U49" s="75" t="n">
        <f aca="false">IF(U44=0,0,U47/U44)</f>
        <v>0.667456483575041</v>
      </c>
      <c r="V49" s="75" t="n">
        <f aca="false">IF(V44=0,0,V47/V44)</f>
        <v>0.667456169322621</v>
      </c>
      <c r="W49" s="75" t="n">
        <f aca="false">IF(W44=0,0,W47/W44)</f>
        <v>0.646249540246617</v>
      </c>
      <c r="X49" s="75" t="n">
        <f aca="false">IF(X44=0,0,X47/X44)</f>
        <v>0.627446870425661</v>
      </c>
      <c r="Y49" s="75" t="n">
        <f aca="false">IF(Y44=0,0,Y47/Y44)</f>
        <v>0.629279904683702</v>
      </c>
      <c r="Z49" s="75" t="n">
        <f aca="false">IF(Z44=0,0,Z47/Z44)</f>
        <v>0.609760970474083</v>
      </c>
      <c r="AA49" s="75" t="n">
        <f aca="false">IF(AA44=0,0,AA47/AA44)</f>
        <v>0.600120456963171</v>
      </c>
      <c r="AB49" s="75" t="n">
        <f aca="false">IF(AB44=0,0,AB47/AB44)</f>
        <v>0.600076625363288</v>
      </c>
    </row>
    <row r="50" customFormat="false" ht="15" hidden="false" customHeight="false" outlineLevel="0" collapsed="false">
      <c r="A50" s="29" t="s">
        <v>1036</v>
      </c>
      <c r="B50" s="60" t="s">
        <v>1037</v>
      </c>
      <c r="C50" s="61" t="n">
        <f aca="false">SUM(E50:P50)</f>
        <v>63895.46</v>
      </c>
      <c r="D50" s="61" t="n">
        <f aca="false">SUM(Q50:AB50)</f>
        <v>0</v>
      </c>
      <c r="E50" s="62" t="n">
        <f aca="false">E14*Assumptions!$G$64+E21*Assumptions!$G$65+E28*Assumptions!$G$66+E35*Assumptions!$G$67+E42*Assumptions!$G$68</f>
        <v>41.59</v>
      </c>
      <c r="F50" s="62" t="n">
        <f aca="false">F14*Assumptions!$G$64+F21*Assumptions!$G$65+F28*Assumptions!$G$66+F35*Assumptions!$G$67+F42*Assumptions!$G$68</f>
        <v>15.38</v>
      </c>
      <c r="G50" s="62" t="n">
        <f aca="false">G14*Assumptions!$G$64+G21*Assumptions!$G$65+G28*Assumptions!$G$66+G35*Assumptions!$G$67+G42*Assumptions!$G$68</f>
        <v>49.48</v>
      </c>
      <c r="H50" s="62" t="n">
        <f aca="false">H14*Assumptions!$G$64+H21*Assumptions!$G$65+H28*Assumptions!$G$66+H35*Assumptions!$G$67+H42*Assumptions!$G$68</f>
        <v>3303.22</v>
      </c>
      <c r="I50" s="62" t="n">
        <f aca="false">I14*Assumptions!$G$64+I21*Assumptions!$G$65+I28*Assumptions!$G$66+I35*Assumptions!$G$67+I42*Assumptions!$G$68</f>
        <v>28315.75</v>
      </c>
      <c r="J50" s="62" t="n">
        <f aca="false">J14*Assumptions!$G$64+J21*Assumptions!$G$65+J28*Assumptions!$G$66+J35*Assumptions!$G$67+J42*Assumptions!$G$68</f>
        <v>32109.48</v>
      </c>
      <c r="K50" s="62" t="n">
        <f aca="false">K14*Assumptions!$G$64+K21*Assumptions!$G$65+K28*Assumptions!$G$66+K35*Assumptions!$G$67+K42*Assumptions!$G$68</f>
        <v>31.16</v>
      </c>
      <c r="L50" s="62" t="n">
        <f aca="false">L14*Assumptions!$G$64+L21*Assumptions!$G$65+L28*Assumptions!$G$66+L35*Assumptions!$G$67+L42*Assumptions!$G$68</f>
        <v>29.4</v>
      </c>
      <c r="M50" s="62" t="n">
        <f aca="false">M14*Assumptions!$G$64+M21*Assumptions!$G$65+M28*Assumptions!$G$66+M35*Assumptions!$G$67+M42*Assumptions!$G$68</f>
        <v>0</v>
      </c>
      <c r="N50" s="62" t="n">
        <f aca="false">N14*Assumptions!$G$64+N21*Assumptions!$G$65+N28*Assumptions!$G$66+N35*Assumptions!$G$67+N42*Assumptions!$G$68</f>
        <v>0</v>
      </c>
      <c r="O50" s="62" t="n">
        <f aca="false">O14*Assumptions!$G$64+O21*Assumptions!$G$65+O28*Assumptions!$G$66+O35*Assumptions!$G$67+O42*Assumptions!$G$68</f>
        <v>0</v>
      </c>
      <c r="P50" s="62" t="n">
        <f aca="false">P14*Assumptions!$G$64+P21*Assumptions!$G$65+P28*Assumptions!$G$66+P35*Assumptions!$G$67+P42*Assumptions!$G$68</f>
        <v>0</v>
      </c>
      <c r="Q50" s="62" t="n">
        <f aca="false">Q14*Assumptions!$G$64+Q21*Assumptions!$G$65+Q28*Assumptions!$G$66+Q35*Assumptions!$G$67+Q42*Assumptions!$G$68</f>
        <v>0</v>
      </c>
      <c r="R50" s="62" t="n">
        <f aca="false">R14*Assumptions!$G$64+R21*Assumptions!$G$65+R28*Assumptions!$G$66+R35*Assumptions!$G$67+R42*Assumptions!$G$68</f>
        <v>0</v>
      </c>
      <c r="S50" s="62" t="n">
        <f aca="false">S14*Assumptions!$G$64+S21*Assumptions!$G$65+S28*Assumptions!$G$66+S35*Assumptions!$G$67+S42*Assumptions!$G$68</f>
        <v>0</v>
      </c>
      <c r="T50" s="62" t="n">
        <f aca="false">T14*Assumptions!$G$64+T21*Assumptions!$G$65+T28*Assumptions!$G$66+T35*Assumptions!$G$67+T42*Assumptions!$G$68</f>
        <v>0</v>
      </c>
      <c r="U50" s="62" t="n">
        <f aca="false">U14*Assumptions!$G$64+U21*Assumptions!$G$65+U28*Assumptions!$G$66+U35*Assumptions!$G$67+U42*Assumptions!$G$68</f>
        <v>0</v>
      </c>
      <c r="V50" s="62" t="n">
        <f aca="false">V14*Assumptions!$G$64+V21*Assumptions!$G$65+V28*Assumptions!$G$66+V35*Assumptions!$G$67+V42*Assumptions!$G$68</f>
        <v>0</v>
      </c>
      <c r="W50" s="62" t="n">
        <f aca="false">W14*Assumptions!$G$64+W21*Assumptions!$G$65+W28*Assumptions!$G$66+W35*Assumptions!$G$67+W42*Assumptions!$G$68</f>
        <v>0</v>
      </c>
      <c r="X50" s="62" t="n">
        <f aca="false">X14*Assumptions!$G$64+X21*Assumptions!$G$65+X28*Assumptions!$G$66+X35*Assumptions!$G$67+X42*Assumptions!$G$68</f>
        <v>0</v>
      </c>
      <c r="Y50" s="62" t="n">
        <f aca="false">Y14*Assumptions!$G$64+Y21*Assumptions!$G$65+Y28*Assumptions!$G$66+Y35*Assumptions!$G$67+Y42*Assumptions!$G$68</f>
        <v>0</v>
      </c>
      <c r="Z50" s="62" t="n">
        <f aca="false">Z14*Assumptions!$G$64+Z21*Assumptions!$G$65+Z28*Assumptions!$G$66+Z35*Assumptions!$G$67+Z42*Assumptions!$G$68</f>
        <v>0</v>
      </c>
      <c r="AA50" s="62" t="n">
        <f aca="false">AA14*Assumptions!$G$64+AA21*Assumptions!$G$65+AA28*Assumptions!$G$66+AA35*Assumptions!$G$67+AA42*Assumptions!$G$68</f>
        <v>0</v>
      </c>
      <c r="AB50" s="62" t="n">
        <f aca="false">AB14*Assumptions!$G$64+AB21*Assumptions!$G$65+AB28*Assumptions!$G$66+AB35*Assumptions!$G$67+AB42*Assumptions!$G$68</f>
        <v>0</v>
      </c>
    </row>
    <row r="51" customFormat="false" ht="15" hidden="false" customHeight="false" outlineLevel="0" collapsed="false">
      <c r="A51" s="23" t="s">
        <v>1038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row>
    <row r="52" customFormat="false" ht="15" hidden="false" customHeight="false" outlineLevel="0" collapsed="false">
      <c r="A52" s="29" t="s">
        <v>1039</v>
      </c>
      <c r="B52" s="60" t="s">
        <v>989</v>
      </c>
      <c r="C52" s="66" t="n">
        <f aca="false">SUM(E52:P52)</f>
        <v>1680</v>
      </c>
      <c r="D52" s="66" t="n">
        <f aca="false">SUM(Q52:AB52)</f>
        <v>1688</v>
      </c>
      <c r="E52" s="67" t="n">
        <f aca="false">(People!E64)*Assumptions!E$200</f>
        <v>136</v>
      </c>
      <c r="F52" s="67" t="n">
        <f aca="false">(People!F64)*Assumptions!F$200</f>
        <v>132</v>
      </c>
      <c r="G52" s="67" t="n">
        <f aca="false">(People!G64)*Assumptions!G$200</f>
        <v>149.6</v>
      </c>
      <c r="H52" s="67" t="n">
        <f aca="false">(People!H64)*Assumptions!H$200</f>
        <v>132</v>
      </c>
      <c r="I52" s="67" t="n">
        <f aca="false">(People!I64)*Assumptions!I$200</f>
        <v>112.8</v>
      </c>
      <c r="J52" s="67" t="n">
        <f aca="false">(People!J64)*Assumptions!J$200</f>
        <v>144.8</v>
      </c>
      <c r="K52" s="67" t="n">
        <f aca="false">(People!K64)*Assumptions!K$200</f>
        <v>156</v>
      </c>
      <c r="L52" s="67" t="n">
        <f aca="false">(People!L64)*Assumptions!L$200</f>
        <v>121.6</v>
      </c>
      <c r="M52" s="67" t="n">
        <f aca="false">(People!M64)*Assumptions!M$200</f>
        <v>152.8</v>
      </c>
      <c r="N52" s="67" t="n">
        <f aca="false">(People!N64)*Assumptions!N$200</f>
        <v>147.2</v>
      </c>
      <c r="O52" s="67" t="n">
        <f aca="false">(People!O64)*Assumptions!O$200</f>
        <v>145.6</v>
      </c>
      <c r="P52" s="67" t="n">
        <f aca="false">(People!P64)*Assumptions!P$200</f>
        <v>149.6</v>
      </c>
      <c r="Q52" s="67" t="n">
        <f aca="false">(People!Q64)*Assumptions!Q$200</f>
        <v>128</v>
      </c>
      <c r="R52" s="67" t="n">
        <f aca="false">(People!R64)*Assumptions!R$200</f>
        <v>132</v>
      </c>
      <c r="S52" s="67" t="n">
        <f aca="false">(People!S64)*Assumptions!S$200</f>
        <v>141.6</v>
      </c>
      <c r="T52" s="67" t="n">
        <f aca="false">(People!T64)*Assumptions!T$200</f>
        <v>148</v>
      </c>
      <c r="U52" s="67" t="n">
        <f aca="false">(People!U64)*Assumptions!U$200</f>
        <v>112.8</v>
      </c>
      <c r="V52" s="67" t="n">
        <f aca="false">(People!V64)*Assumptions!V$200</f>
        <v>152.8</v>
      </c>
      <c r="W52" s="67" t="n">
        <f aca="false">(People!W64)*Assumptions!W$200</f>
        <v>148</v>
      </c>
      <c r="X52" s="67" t="n">
        <f aca="false">(People!X64)*Assumptions!X$200</f>
        <v>129.6</v>
      </c>
      <c r="Y52" s="67" t="n">
        <f aca="false">(People!Y64)*Assumptions!Y$200</f>
        <v>152.8</v>
      </c>
      <c r="Z52" s="67" t="n">
        <f aca="false">(People!Z64)*Assumptions!Z$200</f>
        <v>139.2</v>
      </c>
      <c r="AA52" s="67" t="n">
        <f aca="false">(People!AA64)*Assumptions!AA$200</f>
        <v>145.6</v>
      </c>
      <c r="AB52" s="67" t="n">
        <f aca="false">(People!AB64)*Assumptions!AB$200</f>
        <v>157.6</v>
      </c>
    </row>
    <row r="53" customFormat="false" ht="15" hidden="false" customHeight="false" outlineLevel="0" collapsed="false">
      <c r="A53" s="29" t="s">
        <v>990</v>
      </c>
      <c r="B53" s="60" t="s">
        <v>991</v>
      </c>
      <c r="C53" s="66" t="n">
        <f aca="false">SUM(E53:P53)</f>
        <v>542.487113343397</v>
      </c>
      <c r="D53" s="66" t="n">
        <f aca="false">SUM(Q53:AB53)</f>
        <v>217.373986656603</v>
      </c>
      <c r="E53" s="67" t="n">
        <f aca="false">IF(E$5="A",Inputs_Actuals!E144+Inputs_Actuals!E145,SUMPRODUCT((Engagement_Register!$C$7:$C$39="FIN")*Engagement_Register!$Y$7:$Y$39*Engagements!$E$9:$E$41))</f>
        <v>24.171</v>
      </c>
      <c r="F53" s="67" t="n">
        <f aca="false">IF(F$5="A",Inputs_Actuals!F144+Inputs_Actuals!F145,SUMPRODUCT((Engagement_Register!$C$7:$C$39="FIN")*Engagement_Register!$Y$7:$Y$39*Engagements!$F$9:$F$41))</f>
        <v>38.1</v>
      </c>
      <c r="G53" s="67" t="n">
        <f aca="false">IF(G$5="A",Inputs_Actuals!G144+Inputs_Actuals!G145,SUMPRODUCT((Engagement_Register!$C$7:$C$39="FIN")*Engagement_Register!$Y$7:$Y$39*Engagements!$G$9:$G$41))</f>
        <v>41.952</v>
      </c>
      <c r="H53" s="67" t="n">
        <f aca="false">IF(H$5="A",Inputs_Actuals!H144+Inputs_Actuals!H145,SUMPRODUCT((Engagement_Register!$C$7:$C$39="FIN")*Engagement_Register!$Y$7:$Y$39*Engagements!$H$9:$H$41))</f>
        <v>50.335</v>
      </c>
      <c r="I53" s="67" t="n">
        <f aca="false">IF(I$5="A",Inputs_Actuals!I144+Inputs_Actuals!I145,SUMPRODUCT((Engagement_Register!$C$7:$C$39="FIN")*Engagement_Register!$Y$7:$Y$39*Engagements!$I$9:$I$41))</f>
        <v>43.078</v>
      </c>
      <c r="J53" s="67" t="n">
        <f aca="false">IF(J$5="A",Inputs_Actuals!J144+Inputs_Actuals!J145,SUMPRODUCT((Engagement_Register!$C$7:$C$39="FIN")*Engagement_Register!$Y$7:$Y$39*Engagements!$J$9:$J$41))</f>
        <v>55.883</v>
      </c>
      <c r="K53" s="67" t="n">
        <f aca="false">IF(K$5="A",Inputs_Actuals!K144+Inputs_Actuals!K145,SUMPRODUCT((Engagement_Register!$C$7:$C$39="FIN")*Engagement_Register!$Y$7:$Y$39*Engagements!$K$9:$K$41))</f>
        <v>45.282</v>
      </c>
      <c r="L53" s="67" t="n">
        <f aca="false">IF(L$5="A",Inputs_Actuals!L144+Inputs_Actuals!L145,SUMPRODUCT((Engagement_Register!$C$7:$C$39="FIN")*Engagement_Register!$Y$7:$Y$39*Engagements!$L$9:$L$41))</f>
        <v>34.158</v>
      </c>
      <c r="M53" s="67" t="n">
        <f aca="false">IF(M$5="A",Inputs_Actuals!M144+Inputs_Actuals!M145,SUMPRODUCT((Engagement_Register!$C$7:$C$39="FIN")*Engagement_Register!$Y$7:$Y$39*Engagements!$M$9:$M$41))</f>
        <v>61.8027055762395</v>
      </c>
      <c r="N53" s="67" t="n">
        <f aca="false">IF(N$5="A",Inputs_Actuals!N144+Inputs_Actuals!N145,SUMPRODUCT((Engagement_Register!$C$7:$C$39="FIN")*Engagement_Register!$Y$7:$Y$39*Engagements!$N$9:$N$41))</f>
        <v>45.368336261927</v>
      </c>
      <c r="O53" s="67" t="n">
        <f aca="false">IF(O$5="A",Inputs_Actuals!O144+Inputs_Actuals!O145,SUMPRODUCT((Engagement_Register!$C$7:$C$39="FIN")*Engagement_Register!$Y$7:$Y$39*Engagements!$O$9:$O$41))</f>
        <v>40.1990596266689</v>
      </c>
      <c r="P53" s="67" t="n">
        <f aca="false">IF(P$5="A",Inputs_Actuals!P144+Inputs_Actuals!P145,SUMPRODUCT((Engagement_Register!$C$7:$C$39="FIN")*Engagement_Register!$Y$7:$Y$39*Engagements!$P$9:$P$41))</f>
        <v>62.1580118785616</v>
      </c>
      <c r="Q53" s="67" t="n">
        <f aca="false">IF(Q$5="A",Inputs_Actuals!Q144+Inputs_Actuals!Q145,SUMPRODUCT((Engagement_Register!$C$7:$C$39="FIN")*Engagement_Register!$Y$7:$Y$39*Engagements!$Q$9:$Q$41))</f>
        <v>57.0783207647252</v>
      </c>
      <c r="R53" s="67" t="n">
        <f aca="false">IF(R$5="A",Inputs_Actuals!R144+Inputs_Actuals!R145,SUMPRODUCT((Engagement_Register!$C$7:$C$39="FIN")*Engagement_Register!$Y$7:$Y$39*Engagements!$R$9:$R$41))</f>
        <v>63.3986292800022</v>
      </c>
      <c r="S53" s="67" t="n">
        <f aca="false">IF(S$5="A",Inputs_Actuals!S144+Inputs_Actuals!S145,SUMPRODUCT((Engagement_Register!$C$7:$C$39="FIN")*Engagement_Register!$Y$7:$Y$39*Engagements!$S$9:$S$41))</f>
        <v>38.9313397345696</v>
      </c>
      <c r="T53" s="67" t="n">
        <f aca="false">IF(T$5="A",Inputs_Actuals!T144+Inputs_Actuals!T145,SUMPRODUCT((Engagement_Register!$C$7:$C$39="FIN")*Engagement_Register!$Y$7:$Y$39*Engagements!$T$9:$T$41))</f>
        <v>28.9175375699402</v>
      </c>
      <c r="U53" s="67" t="n">
        <f aca="false">IF(U$5="A",Inputs_Actuals!U144+Inputs_Actuals!U145,SUMPRODUCT((Engagement_Register!$C$7:$C$39="FIN")*Engagement_Register!$Y$7:$Y$39*Engagements!$U$9:$U$41))</f>
        <v>14.060534776893</v>
      </c>
      <c r="V53" s="67" t="n">
        <f aca="false">IF(V$5="A",Inputs_Actuals!V144+Inputs_Actuals!V145,SUMPRODUCT((Engagement_Register!$C$7:$C$39="FIN")*Engagement_Register!$Y$7:$Y$39*Engagements!$V$9:$V$41))</f>
        <v>9.90112129771412</v>
      </c>
      <c r="W53" s="67" t="n">
        <f aca="false">IF(W$5="A",Inputs_Actuals!W144+Inputs_Actuals!W145,SUMPRODUCT((Engagement_Register!$C$7:$C$39="FIN")*Engagement_Register!$Y$7:$Y$39*Engagements!$W$9:$W$41))</f>
        <v>5.08650323275862</v>
      </c>
      <c r="X53" s="67" t="n">
        <f aca="false">IF(X$5="A",Inputs_Actuals!X144+Inputs_Actuals!X145,SUMPRODUCT((Engagement_Register!$C$7:$C$39="FIN")*Engagement_Register!$Y$7:$Y$39*Engagements!$X$9:$X$41))</f>
        <v>0</v>
      </c>
      <c r="Y53" s="67" t="n">
        <f aca="false">IF(Y$5="A",Inputs_Actuals!Y144+Inputs_Actuals!Y145,SUMPRODUCT((Engagement_Register!$C$7:$C$39="FIN")*Engagement_Register!$Y$7:$Y$39*Engagements!$Y$9:$Y$41))</f>
        <v>0</v>
      </c>
      <c r="Z53" s="67" t="n">
        <f aca="false">IF(Z$5="A",Inputs_Actuals!Z144+Inputs_Actuals!Z145,SUMPRODUCT((Engagement_Register!$C$7:$C$39="FIN")*Engagement_Register!$Y$7:$Y$39*Engagements!$Z$9:$Z$41))</f>
        <v>0</v>
      </c>
      <c r="AA53" s="67" t="n">
        <f aca="false">IF(AA$5="A",Inputs_Actuals!AA144+Inputs_Actuals!AA145,SUMPRODUCT((Engagement_Register!$C$7:$C$39="FIN")*Engagement_Register!$Y$7:$Y$39*Engagements!$AA$9:$AA$41))</f>
        <v>0</v>
      </c>
      <c r="AB53" s="67" t="n">
        <f aca="false">IF(AB$5="A",Inputs_Actuals!AB144+Inputs_Actuals!AB145,SUMPRODUCT((Engagement_Register!$C$7:$C$39="FIN")*Engagement_Register!$Y$7:$Y$39*Engagements!$AB$9:$AB$41))</f>
        <v>0</v>
      </c>
    </row>
    <row r="54" customFormat="false" ht="15" hidden="false" customHeight="false" outlineLevel="0" collapsed="false">
      <c r="A54" s="29" t="s">
        <v>992</v>
      </c>
      <c r="B54" s="60" t="s">
        <v>993</v>
      </c>
      <c r="C54" s="66" t="n">
        <f aca="false">SUM(E54:P54)</f>
        <v>14.4327522986649</v>
      </c>
      <c r="D54" s="66" t="n">
        <f aca="false">SUM(Q54:AB54)</f>
        <v>379.4423707105</v>
      </c>
      <c r="E54" s="72" t="n">
        <f aca="false">0</f>
        <v>0</v>
      </c>
      <c r="F54" s="72" t="n">
        <f aca="false">0</f>
        <v>0</v>
      </c>
      <c r="G54" s="72" t="n">
        <f aca="false">0</f>
        <v>0</v>
      </c>
      <c r="H54" s="72" t="n">
        <f aca="false">0</f>
        <v>0</v>
      </c>
      <c r="I54" s="72" t="n">
        <f aca="false">0</f>
        <v>0</v>
      </c>
      <c r="J54" s="72" t="n">
        <f aca="false">0</f>
        <v>0</v>
      </c>
      <c r="K54" s="72" t="n">
        <f aca="false">0</f>
        <v>0</v>
      </c>
      <c r="L54" s="72" t="n">
        <f aca="false">0</f>
        <v>0</v>
      </c>
      <c r="M54" s="67" t="n">
        <f aca="false">IF(Assumptions!M$186&gt;=Assumptions!$C$152,MAX(0,Assumptions!$F$64*M52-M53)*Assumptions!$F$168,0)</f>
        <v>0</v>
      </c>
      <c r="N54" s="67" t="n">
        <f aca="false">IF(Assumptions!N$186&gt;=Assumptions!$C$152,MAX(0,Assumptions!$F$64*N52-N53)*Assumptions!$F$168,0)</f>
        <v>0</v>
      </c>
      <c r="O54" s="67" t="n">
        <f aca="false">IF(Assumptions!O$186&gt;=Assumptions!$C$152,MAX(0,Assumptions!$F$64*O52-O53)*Assumptions!$F$168,0)</f>
        <v>14.4327522986649</v>
      </c>
      <c r="P54" s="67" t="n">
        <f aca="false">IF(Assumptions!P$186&gt;=Assumptions!$C$152,MAX(0,Assumptions!$F$64*P52-P53)*Assumptions!$F$168,0)</f>
        <v>0</v>
      </c>
      <c r="Q54" s="67" t="n">
        <f aca="false">IF(Assumptions!Q$186&gt;=Assumptions!$C$152,MAX(0,Assumptions!$F$64*Q52-Q53)*Assumptions!$F$168,0)</f>
        <v>0</v>
      </c>
      <c r="R54" s="67" t="n">
        <f aca="false">IF(Assumptions!R$186&gt;=Assumptions!$C$152,MAX(0,Assumptions!$F$64*R52-R53)*Assumptions!$F$168,0)</f>
        <v>0</v>
      </c>
      <c r="S54" s="67" t="n">
        <f aca="false">IF(Assumptions!S$186&gt;=Assumptions!$C$152,MAX(0,Assumptions!$F$64*S52-S53)*Assumptions!$F$168,0)</f>
        <v>14.1669282123443</v>
      </c>
      <c r="T54" s="67" t="n">
        <f aca="false">IF(Assumptions!T$186&gt;=Assumptions!$C$152,MAX(0,Assumptions!$F$64*T52-T53)*Assumptions!$F$168,0)</f>
        <v>24.2259699440479</v>
      </c>
      <c r="U54" s="67" t="n">
        <f aca="false">IF(Assumptions!U$186&gt;=Assumptions!$C$152,MAX(0,Assumptions!$F$64*U52-U53)*Assumptions!$F$168,0)</f>
        <v>24.8475721784856</v>
      </c>
      <c r="V54" s="67" t="n">
        <f aca="false">IF(Assumptions!V$186&gt;=Assumptions!$C$152,MAX(0,Assumptions!$F$64*V52-V53)*Assumptions!$F$168,0)</f>
        <v>40.9751029618287</v>
      </c>
      <c r="W54" s="67" t="n">
        <f aca="false">IF(Assumptions!W$186&gt;=Assumptions!$C$152,MAX(0,Assumptions!$F$64*W52-W53)*Assumptions!$F$168,0)</f>
        <v>43.2907974137931</v>
      </c>
      <c r="X54" s="67" t="n">
        <f aca="false">IF(Assumptions!X$186&gt;=Assumptions!$C$152,MAX(0,Assumptions!$F$64*X52-X53)*Assumptions!$F$168,0)</f>
        <v>41.472</v>
      </c>
      <c r="Y54" s="67" t="n">
        <f aca="false">IF(Assumptions!Y$186&gt;=Assumptions!$C$152,MAX(0,Assumptions!$F$64*Y52-Y53)*Assumptions!$F$168,0)</f>
        <v>48.896</v>
      </c>
      <c r="Z54" s="67" t="n">
        <f aca="false">IF(Assumptions!Z$186&gt;=Assumptions!$C$152,MAX(0,Assumptions!$F$64*Z52-Z53)*Assumptions!$F$168,0)</f>
        <v>44.544</v>
      </c>
      <c r="AA54" s="67" t="n">
        <f aca="false">IF(Assumptions!AA$186&gt;=Assumptions!$C$152,MAX(0,Assumptions!$F$64*AA52-AA53)*Assumptions!$F$168,0)</f>
        <v>46.592</v>
      </c>
      <c r="AB54" s="67" t="n">
        <f aca="false">IF(Assumptions!AB$186&gt;=Assumptions!$C$152,MAX(0,Assumptions!$F$64*AB52-AB53)*Assumptions!$F$168,0)</f>
        <v>50.432</v>
      </c>
    </row>
    <row r="55" customFormat="false" ht="15" hidden="false" customHeight="false" outlineLevel="0" collapsed="false">
      <c r="A55" s="29" t="s">
        <v>994</v>
      </c>
      <c r="B55" s="60" t="s">
        <v>995</v>
      </c>
      <c r="C55" s="66" t="n">
        <f aca="false">SUM(E55:P55)</f>
        <v>556.919865642062</v>
      </c>
      <c r="D55" s="66" t="n">
        <f aca="false">SUM(Q55:AB55)</f>
        <v>596.816357367103</v>
      </c>
      <c r="E55" s="72" t="n">
        <f aca="false">E53+E54</f>
        <v>24.171</v>
      </c>
      <c r="F55" s="72" t="n">
        <f aca="false">F53+F54</f>
        <v>38.1</v>
      </c>
      <c r="G55" s="72" t="n">
        <f aca="false">G53+G54</f>
        <v>41.952</v>
      </c>
      <c r="H55" s="72" t="n">
        <f aca="false">H53+H54</f>
        <v>50.335</v>
      </c>
      <c r="I55" s="72" t="n">
        <f aca="false">I53+I54</f>
        <v>43.078</v>
      </c>
      <c r="J55" s="72" t="n">
        <f aca="false">J53+J54</f>
        <v>55.883</v>
      </c>
      <c r="K55" s="72" t="n">
        <f aca="false">K53+K54</f>
        <v>45.282</v>
      </c>
      <c r="L55" s="72" t="n">
        <f aca="false">L53+L54</f>
        <v>34.158</v>
      </c>
      <c r="M55" s="72" t="n">
        <f aca="false">M53+M54</f>
        <v>61.8027055762395</v>
      </c>
      <c r="N55" s="72" t="n">
        <f aca="false">N53+N54</f>
        <v>45.368336261927</v>
      </c>
      <c r="O55" s="72" t="n">
        <f aca="false">O53+O54</f>
        <v>54.6318119253338</v>
      </c>
      <c r="P55" s="72" t="n">
        <f aca="false">P53+P54</f>
        <v>62.1580118785616</v>
      </c>
      <c r="Q55" s="72" t="n">
        <f aca="false">Q53+Q54</f>
        <v>57.0783207647252</v>
      </c>
      <c r="R55" s="72" t="n">
        <f aca="false">R53+R54</f>
        <v>63.3986292800022</v>
      </c>
      <c r="S55" s="72" t="n">
        <f aca="false">S53+S54</f>
        <v>53.0982679469139</v>
      </c>
      <c r="T55" s="72" t="n">
        <f aca="false">T53+T54</f>
        <v>53.143507513988</v>
      </c>
      <c r="U55" s="72" t="n">
        <f aca="false">U53+U54</f>
        <v>38.9081069553786</v>
      </c>
      <c r="V55" s="72" t="n">
        <f aca="false">V53+V54</f>
        <v>50.8762242595428</v>
      </c>
      <c r="W55" s="72" t="n">
        <f aca="false">W53+W54</f>
        <v>48.3773006465517</v>
      </c>
      <c r="X55" s="72" t="n">
        <f aca="false">X53+X54</f>
        <v>41.472</v>
      </c>
      <c r="Y55" s="72" t="n">
        <f aca="false">Y53+Y54</f>
        <v>48.896</v>
      </c>
      <c r="Z55" s="72" t="n">
        <f aca="false">Z53+Z54</f>
        <v>44.544</v>
      </c>
      <c r="AA55" s="72" t="n">
        <f aca="false">AA53+AA54</f>
        <v>46.592</v>
      </c>
      <c r="AB55" s="72" t="n">
        <f aca="false">AB53+AB54</f>
        <v>50.432</v>
      </c>
    </row>
    <row r="56" customFormat="false" ht="15" hidden="false" customHeight="false" outlineLevel="0" collapsed="false">
      <c r="A56" s="29" t="s">
        <v>996</v>
      </c>
      <c r="B56" s="60" t="s">
        <v>997</v>
      </c>
      <c r="C56" s="66" t="n">
        <f aca="false">SUM(E56:P56)</f>
        <v>556.360865642062</v>
      </c>
      <c r="D56" s="66" t="n">
        <f aca="false">SUM(Q56:AB56)</f>
        <v>596.816357367103</v>
      </c>
      <c r="E56" s="67" t="n">
        <f aca="false">IF(E$5="A",Inputs_Actuals!E144,MIN(E55,E52*Assumptions!$C$83))</f>
        <v>24.1</v>
      </c>
      <c r="F56" s="67" t="n">
        <f aca="false">IF(F$5="A",Inputs_Actuals!F144,MIN(F55,F52*Assumptions!$C$83))</f>
        <v>38</v>
      </c>
      <c r="G56" s="67" t="n">
        <f aca="false">IF(G$5="A",Inputs_Actuals!G144,MIN(G55,G52*Assumptions!$C$83))</f>
        <v>41.9</v>
      </c>
      <c r="H56" s="67" t="n">
        <f aca="false">IF(H$5="A",Inputs_Actuals!H144,MIN(H55,H52*Assumptions!$C$83))</f>
        <v>50.3</v>
      </c>
      <c r="I56" s="67" t="n">
        <f aca="false">IF(I$5="A",Inputs_Actuals!I144,MIN(I55,I52*Assumptions!$C$83))</f>
        <v>43</v>
      </c>
      <c r="J56" s="67" t="n">
        <f aca="false">IF(J$5="A",Inputs_Actuals!J144,MIN(J55,J52*Assumptions!$C$83))</f>
        <v>55.8</v>
      </c>
      <c r="K56" s="67" t="n">
        <f aca="false">IF(K$5="A",Inputs_Actuals!K144,MIN(K55,K52*Assumptions!$C$83))</f>
        <v>45.2</v>
      </c>
      <c r="L56" s="67" t="n">
        <f aca="false">IF(L$5="A",Inputs_Actuals!L144,MIN(L55,L52*Assumptions!$C$83))</f>
        <v>34.1</v>
      </c>
      <c r="M56" s="67" t="n">
        <f aca="false">IF(M$5="A",Inputs_Actuals!M144,MIN(M55,M52*Assumptions!$C$83))</f>
        <v>61.8027055762395</v>
      </c>
      <c r="N56" s="67" t="n">
        <f aca="false">IF(N$5="A",Inputs_Actuals!N144,MIN(N55,N52*Assumptions!$C$83))</f>
        <v>45.368336261927</v>
      </c>
      <c r="O56" s="67" t="n">
        <f aca="false">IF(O$5="A",Inputs_Actuals!O144,MIN(O55,O52*Assumptions!$C$83))</f>
        <v>54.6318119253338</v>
      </c>
      <c r="P56" s="67" t="n">
        <f aca="false">IF(P$5="A",Inputs_Actuals!P144,MIN(P55,P52*Assumptions!$C$83))</f>
        <v>62.1580118785616</v>
      </c>
      <c r="Q56" s="67" t="n">
        <f aca="false">IF(Q$5="A",Inputs_Actuals!Q144,MIN(Q55,Q52*Assumptions!$C$83))</f>
        <v>57.0783207647252</v>
      </c>
      <c r="R56" s="67" t="n">
        <f aca="false">IF(R$5="A",Inputs_Actuals!R144,MIN(R55,R52*Assumptions!$C$83))</f>
        <v>63.3986292800022</v>
      </c>
      <c r="S56" s="67" t="n">
        <f aca="false">IF(S$5="A",Inputs_Actuals!S144,MIN(S55,S52*Assumptions!$C$83))</f>
        <v>53.0982679469139</v>
      </c>
      <c r="T56" s="67" t="n">
        <f aca="false">IF(T$5="A",Inputs_Actuals!T144,MIN(T55,T52*Assumptions!$C$83))</f>
        <v>53.143507513988</v>
      </c>
      <c r="U56" s="67" t="n">
        <f aca="false">IF(U$5="A",Inputs_Actuals!U144,MIN(U55,U52*Assumptions!$C$83))</f>
        <v>38.9081069553786</v>
      </c>
      <c r="V56" s="67" t="n">
        <f aca="false">IF(V$5="A",Inputs_Actuals!V144,MIN(V55,V52*Assumptions!$C$83))</f>
        <v>50.8762242595428</v>
      </c>
      <c r="W56" s="67" t="n">
        <f aca="false">IF(W$5="A",Inputs_Actuals!W144,MIN(W55,W52*Assumptions!$C$83))</f>
        <v>48.3773006465517</v>
      </c>
      <c r="X56" s="67" t="n">
        <f aca="false">IF(X$5="A",Inputs_Actuals!X144,MIN(X55,X52*Assumptions!$C$83))</f>
        <v>41.472</v>
      </c>
      <c r="Y56" s="67" t="n">
        <f aca="false">IF(Y$5="A",Inputs_Actuals!Y144,MIN(Y55,Y52*Assumptions!$C$83))</f>
        <v>48.896</v>
      </c>
      <c r="Z56" s="67" t="n">
        <f aca="false">IF(Z$5="A",Inputs_Actuals!Z144,MIN(Z55,Z52*Assumptions!$C$83))</f>
        <v>44.544</v>
      </c>
      <c r="AA56" s="67" t="n">
        <f aca="false">IF(AA$5="A",Inputs_Actuals!AA144,MIN(AA55,AA52*Assumptions!$C$83))</f>
        <v>46.592</v>
      </c>
      <c r="AB56" s="67" t="n">
        <f aca="false">IF(AB$5="A",Inputs_Actuals!AB144,MIN(AB55,AB52*Assumptions!$C$83))</f>
        <v>50.432</v>
      </c>
    </row>
    <row r="57" customFormat="false" ht="15" hidden="false" customHeight="false" outlineLevel="0" collapsed="false">
      <c r="A57" s="29" t="s">
        <v>998</v>
      </c>
      <c r="B57" s="60" t="s">
        <v>999</v>
      </c>
      <c r="C57" s="66" t="n">
        <f aca="false">SUM(E57:P57)</f>
        <v>0.559</v>
      </c>
      <c r="D57" s="66" t="n">
        <f aca="false">SUM(Q57:AB57)</f>
        <v>0</v>
      </c>
      <c r="E57" s="67" t="n">
        <f aca="false">IF(E$5="A",Inputs_Actuals!E145,E55-E56)</f>
        <v>0.071</v>
      </c>
      <c r="F57" s="67" t="n">
        <f aca="false">IF(F$5="A",Inputs_Actuals!F145,F55-F56)</f>
        <v>0.1</v>
      </c>
      <c r="G57" s="67" t="n">
        <f aca="false">IF(G$5="A",Inputs_Actuals!G145,G55-G56)</f>
        <v>0.052</v>
      </c>
      <c r="H57" s="67" t="n">
        <f aca="false">IF(H$5="A",Inputs_Actuals!H145,H55-H56)</f>
        <v>0.035</v>
      </c>
      <c r="I57" s="67" t="n">
        <f aca="false">IF(I$5="A",Inputs_Actuals!I145,I55-I56)</f>
        <v>0.078</v>
      </c>
      <c r="J57" s="67" t="n">
        <f aca="false">IF(J$5="A",Inputs_Actuals!J145,J55-J56)</f>
        <v>0.083</v>
      </c>
      <c r="K57" s="67" t="n">
        <f aca="false">IF(K$5="A",Inputs_Actuals!K145,K55-K56)</f>
        <v>0.082</v>
      </c>
      <c r="L57" s="67" t="n">
        <f aca="false">IF(L$5="A",Inputs_Actuals!L145,L55-L56)</f>
        <v>0.058</v>
      </c>
      <c r="M57" s="67" t="n">
        <f aca="false">IF(M$5="A",Inputs_Actuals!M145,M55-M56)</f>
        <v>0</v>
      </c>
      <c r="N57" s="67" t="n">
        <f aca="false">IF(N$5="A",Inputs_Actuals!N145,N55-N56)</f>
        <v>0</v>
      </c>
      <c r="O57" s="67" t="n">
        <f aca="false">IF(O$5="A",Inputs_Actuals!O145,O55-O56)</f>
        <v>0</v>
      </c>
      <c r="P57" s="67" t="n">
        <f aca="false">IF(P$5="A",Inputs_Actuals!P145,P55-P56)</f>
        <v>0</v>
      </c>
      <c r="Q57" s="67" t="n">
        <f aca="false">IF(Q$5="A",Inputs_Actuals!Q145,Q55-Q56)</f>
        <v>0</v>
      </c>
      <c r="R57" s="67" t="n">
        <f aca="false">IF(R$5="A",Inputs_Actuals!R145,R55-R56)</f>
        <v>0</v>
      </c>
      <c r="S57" s="67" t="n">
        <f aca="false">IF(S$5="A",Inputs_Actuals!S145,S55-S56)</f>
        <v>0</v>
      </c>
      <c r="T57" s="67" t="n">
        <f aca="false">IF(T$5="A",Inputs_Actuals!T145,T55-T56)</f>
        <v>0</v>
      </c>
      <c r="U57" s="67" t="n">
        <f aca="false">IF(U$5="A",Inputs_Actuals!U145,U55-U56)</f>
        <v>0</v>
      </c>
      <c r="V57" s="67" t="n">
        <f aca="false">IF(V$5="A",Inputs_Actuals!V145,V55-V56)</f>
        <v>0</v>
      </c>
      <c r="W57" s="67" t="n">
        <f aca="false">IF(W$5="A",Inputs_Actuals!W145,W55-W56)</f>
        <v>0</v>
      </c>
      <c r="X57" s="67" t="n">
        <f aca="false">IF(X$5="A",Inputs_Actuals!X145,X55-X56)</f>
        <v>0</v>
      </c>
      <c r="Y57" s="67" t="n">
        <f aca="false">IF(Y$5="A",Inputs_Actuals!Y145,Y55-Y56)</f>
        <v>0</v>
      </c>
      <c r="Z57" s="67" t="n">
        <f aca="false">IF(Z$5="A",Inputs_Actuals!Z145,Z55-Z56)</f>
        <v>0</v>
      </c>
      <c r="AA57" s="67" t="n">
        <f aca="false">IF(AA$5="A",Inputs_Actuals!AA145,AA55-AA56)</f>
        <v>0</v>
      </c>
      <c r="AB57" s="67" t="n">
        <f aca="false">IF(AB$5="A",Inputs_Actuals!AB145,AB55-AB56)</f>
        <v>0</v>
      </c>
    </row>
    <row r="58" customFormat="false" ht="15" hidden="false" customHeight="false" outlineLevel="0" collapsed="false">
      <c r="A58" s="29" t="s">
        <v>1000</v>
      </c>
      <c r="B58" s="60" t="s">
        <v>1001</v>
      </c>
      <c r="C58" s="63" t="n">
        <f aca="false">IF(C52=0,0,C56/C52)</f>
        <v>0.331167181929799</v>
      </c>
      <c r="D58" s="63" t="n">
        <f aca="false">IF(D52=0,0,D56/D52)</f>
        <v>0.353564192753023</v>
      </c>
      <c r="E58" s="64" t="n">
        <f aca="false">IF(E52=0,0,E56/E52)</f>
        <v>0.177205882352941</v>
      </c>
      <c r="F58" s="64" t="n">
        <f aca="false">IF(F52=0,0,F56/F52)</f>
        <v>0.287878787878788</v>
      </c>
      <c r="G58" s="64" t="n">
        <f aca="false">IF(G52=0,0,G56/G52)</f>
        <v>0.280080213903743</v>
      </c>
      <c r="H58" s="64" t="n">
        <f aca="false">IF(H52=0,0,H56/H52)</f>
        <v>0.381060606060606</v>
      </c>
      <c r="I58" s="64" t="n">
        <f aca="false">IF(I52=0,0,I56/I52)</f>
        <v>0.381205673758865</v>
      </c>
      <c r="J58" s="64" t="n">
        <f aca="false">IF(J52=0,0,J56/J52)</f>
        <v>0.385359116022099</v>
      </c>
      <c r="K58" s="64" t="n">
        <f aca="false">IF(K52=0,0,K56/K52)</f>
        <v>0.28974358974359</v>
      </c>
      <c r="L58" s="64" t="n">
        <f aca="false">IF(L52=0,0,L56/L52)</f>
        <v>0.280427631578947</v>
      </c>
      <c r="M58" s="64" t="n">
        <f aca="false">IF(M52=0,0,M56/M52)</f>
        <v>0.404467968430887</v>
      </c>
      <c r="N58" s="64" t="n">
        <f aca="false">IF(N52=0,0,N56/N52)</f>
        <v>0.308208806127222</v>
      </c>
      <c r="O58" s="64" t="n">
        <f aca="false">IF(O52=0,0,O56/O52)</f>
        <v>0.375218488498172</v>
      </c>
      <c r="P58" s="64" t="n">
        <f aca="false">IF(P52=0,0,P56/P52)</f>
        <v>0.415494731808567</v>
      </c>
      <c r="Q58" s="64" t="n">
        <f aca="false">IF(Q52=0,0,Q56/Q52)</f>
        <v>0.445924380974416</v>
      </c>
      <c r="R58" s="64" t="n">
        <f aca="false">IF(R52=0,0,R56/R52)</f>
        <v>0.480292646060623</v>
      </c>
      <c r="S58" s="64" t="n">
        <f aca="false">IF(S52=0,0,S56/S52)</f>
        <v>0.37498776798668</v>
      </c>
      <c r="T58" s="64" t="n">
        <f aca="false">IF(T52=0,0,T56/T52)</f>
        <v>0.359077753472892</v>
      </c>
      <c r="U58" s="64" t="n">
        <f aca="false">IF(U52=0,0,U56/U52)</f>
        <v>0.344930026200165</v>
      </c>
      <c r="V58" s="64" t="n">
        <f aca="false">IF(V52=0,0,V56/V52)</f>
        <v>0.332959582850411</v>
      </c>
      <c r="W58" s="64" t="n">
        <f aca="false">IF(W52=0,0,W56/W52)</f>
        <v>0.326873653017241</v>
      </c>
      <c r="X58" s="64" t="n">
        <f aca="false">IF(X52=0,0,X56/X52)</f>
        <v>0.32</v>
      </c>
      <c r="Y58" s="64" t="n">
        <f aca="false">IF(Y52=0,0,Y56/Y52)</f>
        <v>0.32</v>
      </c>
      <c r="Z58" s="64" t="n">
        <f aca="false">IF(Z52=0,0,Z56/Z52)</f>
        <v>0.32</v>
      </c>
      <c r="AA58" s="64" t="n">
        <f aca="false">IF(AA52=0,0,AA56/AA52)</f>
        <v>0.32</v>
      </c>
      <c r="AB58" s="64" t="n">
        <f aca="false">IF(AB52=0,0,AB56/AB52)</f>
        <v>0.32</v>
      </c>
    </row>
    <row r="59" customFormat="false" ht="15" hidden="false" customHeight="false" outlineLevel="0" collapsed="false">
      <c r="A59" s="29" t="s">
        <v>1002</v>
      </c>
      <c r="B59" s="60" t="s">
        <v>989</v>
      </c>
      <c r="C59" s="66" t="n">
        <f aca="false">SUM(E59:P59)</f>
        <v>1674.47233511454</v>
      </c>
      <c r="D59" s="66" t="n">
        <f aca="false">SUM(Q59:AB59)</f>
        <v>1667.15856652026</v>
      </c>
      <c r="E59" s="67" t="n">
        <f aca="false">(People!E67)*Assumptions!E$200</f>
        <v>136</v>
      </c>
      <c r="F59" s="67" t="n">
        <f aca="false">(People!F67)*Assumptions!F$200</f>
        <v>132</v>
      </c>
      <c r="G59" s="67" t="n">
        <f aca="false">(People!G67)*Assumptions!G$200</f>
        <v>149.6</v>
      </c>
      <c r="H59" s="67" t="n">
        <f aca="false">(People!H67)*Assumptions!H$200</f>
        <v>132</v>
      </c>
      <c r="I59" s="67" t="n">
        <f aca="false">(People!I67)*Assumptions!I$200</f>
        <v>112.8</v>
      </c>
      <c r="J59" s="67" t="n">
        <f aca="false">(People!J67)*Assumptions!J$200</f>
        <v>144.8</v>
      </c>
      <c r="K59" s="67" t="n">
        <f aca="false">(People!K67)*Assumptions!K$200</f>
        <v>156</v>
      </c>
      <c r="L59" s="67" t="n">
        <f aca="false">(People!L67)*Assumptions!L$200</f>
        <v>121.6</v>
      </c>
      <c r="M59" s="67" t="n">
        <f aca="false">(People!M67)*Assumptions!M$200</f>
        <v>152.163333333333</v>
      </c>
      <c r="N59" s="67" t="n">
        <f aca="false">(People!N67)*Assumptions!N$200</f>
        <v>145.975888888889</v>
      </c>
      <c r="O59" s="67" t="n">
        <f aca="false">(People!O67)*Assumptions!O$200</f>
        <v>143.787572800926</v>
      </c>
      <c r="P59" s="67" t="n">
        <f aca="false">(People!P67)*Assumptions!P$200</f>
        <v>147.745540091387</v>
      </c>
      <c r="Q59" s="67" t="n">
        <f aca="false">(People!Q67)*Assumptions!Q$200</f>
        <v>126.417685377926</v>
      </c>
      <c r="R59" s="67" t="n">
        <f aca="false">(People!R67)*Assumptions!R$200</f>
        <v>130.370463269405</v>
      </c>
      <c r="S59" s="67" t="n">
        <f aca="false">(People!S67)*Assumptions!S$200</f>
        <v>139.851890729054</v>
      </c>
      <c r="T59" s="67" t="n">
        <f aca="false">(People!T67)*Assumptions!T$200</f>
        <v>146.172848864481</v>
      </c>
      <c r="U59" s="67" t="n">
        <f aca="false">(People!U67)*Assumptions!U$200</f>
        <v>111.40740691787</v>
      </c>
      <c r="V59" s="67" t="n">
        <f aca="false">(People!V67)*Assumptions!V$200</f>
        <v>150.913580034618</v>
      </c>
      <c r="W59" s="67" t="n">
        <f aca="false">(People!W67)*Assumptions!W$200</f>
        <v>146.172839470713</v>
      </c>
      <c r="X59" s="67" t="n">
        <f aca="false">(People!X67)*Assumptions!X$200</f>
        <v>128.000000003223</v>
      </c>
      <c r="Y59" s="67" t="n">
        <f aca="false">(People!Y67)*Assumptions!Y$200</f>
        <v>150.913580247935</v>
      </c>
      <c r="Z59" s="67" t="n">
        <f aca="false">(People!Z67)*Assumptions!Z$200</f>
        <v>137.481481481602</v>
      </c>
      <c r="AA59" s="67" t="n">
        <f aca="false">(People!AA67)*Assumptions!AA$200</f>
        <v>143.802469135783</v>
      </c>
      <c r="AB59" s="67" t="n">
        <f aca="false">(People!AB67)*Assumptions!AB$200</f>
        <v>155.654320987649</v>
      </c>
    </row>
    <row r="60" customFormat="false" ht="15" hidden="false" customHeight="false" outlineLevel="0" collapsed="false">
      <c r="A60" s="29" t="s">
        <v>1003</v>
      </c>
      <c r="B60" s="60" t="s">
        <v>991</v>
      </c>
      <c r="C60" s="66" t="n">
        <f aca="false">SUM(E60:P60)</f>
        <v>795.32645667099</v>
      </c>
      <c r="D60" s="66" t="n">
        <f aca="false">SUM(Q60:AB60)</f>
        <v>299.78584332901</v>
      </c>
      <c r="E60" s="67" t="n">
        <f aca="false">IF(E$5="A",Inputs_Actuals!E146+Inputs_Actuals!E147,SUMPRODUCT((Engagement_Register!$C$7:$C$39="FIN")*Engagement_Register!$Z$7:$Z$39*Engagements!$E$9:$E$41))</f>
        <v>42.842</v>
      </c>
      <c r="F60" s="67" t="n">
        <f aca="false">IF(F$5="A",Inputs_Actuals!F146+Inputs_Actuals!F147,SUMPRODUCT((Engagement_Register!$C$7:$C$39="FIN")*Engagement_Register!$Z$7:$Z$39*Engagements!$F$9:$F$41))</f>
        <v>63.14</v>
      </c>
      <c r="G60" s="67" t="n">
        <f aca="false">IF(G$5="A",Inputs_Actuals!G146+Inputs_Actuals!G147,SUMPRODUCT((Engagement_Register!$C$7:$C$39="FIN")*Engagement_Register!$Z$7:$Z$39*Engagements!$G$9:$G$41))</f>
        <v>69.154</v>
      </c>
      <c r="H60" s="67" t="n">
        <f aca="false">IF(H$5="A",Inputs_Actuals!H146+Inputs_Actuals!H147,SUMPRODUCT((Engagement_Register!$C$7:$C$39="FIN")*Engagement_Register!$Z$7:$Z$39*Engagements!$H$9:$H$41))</f>
        <v>76.249</v>
      </c>
      <c r="I60" s="67" t="n">
        <f aca="false">IF(I$5="A",Inputs_Actuals!I146+Inputs_Actuals!I147,SUMPRODUCT((Engagement_Register!$C$7:$C$39="FIN")*Engagement_Register!$Z$7:$Z$39*Engagements!$I$9:$I$41))</f>
        <v>64.989</v>
      </c>
      <c r="J60" s="67" t="n">
        <f aca="false">IF(J$5="A",Inputs_Actuals!J146+Inputs_Actuals!J147,SUMPRODUCT((Engagement_Register!$C$7:$C$39="FIN")*Engagement_Register!$Z$7:$Z$39*Engagements!$J$9:$J$41))</f>
        <v>84.367</v>
      </c>
      <c r="K60" s="67" t="n">
        <f aca="false">IF(K$5="A",Inputs_Actuals!K146+Inputs_Actuals!K147,SUMPRODUCT((Engagement_Register!$C$7:$C$39="FIN")*Engagement_Register!$Z$7:$Z$39*Engagements!$K$9:$K$41))</f>
        <v>59.05</v>
      </c>
      <c r="L60" s="67" t="n">
        <f aca="false">IF(L$5="A",Inputs_Actuals!L146+Inputs_Actuals!L147,SUMPRODUCT((Engagement_Register!$C$7:$C$39="FIN")*Engagement_Register!$Z$7:$Z$39*Engagements!$L$9:$L$41))</f>
        <v>44.71</v>
      </c>
      <c r="M60" s="67" t="n">
        <f aca="false">IF(M$5="A",Inputs_Actuals!M146+Inputs_Actuals!M147,SUMPRODUCT((Engagement_Register!$C$7:$C$39="FIN")*Engagement_Register!$Z$7:$Z$39*Engagements!$M$9:$M$41))</f>
        <v>82.7335080545682</v>
      </c>
      <c r="N60" s="67" t="n">
        <f aca="false">IF(N$5="A",Inputs_Actuals!N146+Inputs_Actuals!N147,SUMPRODUCT((Engagement_Register!$C$7:$C$39="FIN")*Engagement_Register!$Z$7:$Z$39*Engagements!$N$9:$N$41))</f>
        <v>65.5320412672279</v>
      </c>
      <c r="O60" s="67" t="n">
        <f aca="false">IF(O$5="A",Inputs_Actuals!O146+Inputs_Actuals!O147,SUMPRODUCT((Engagement_Register!$C$7:$C$39="FIN")*Engagement_Register!$Z$7:$Z$39*Engagements!$O$9:$O$41))</f>
        <v>58.0653083496329</v>
      </c>
      <c r="P60" s="67" t="n">
        <f aca="false">IF(P$5="A",Inputs_Actuals!P146+Inputs_Actuals!P147,SUMPRODUCT((Engagement_Register!$C$7:$C$39="FIN")*Engagement_Register!$Z$7:$Z$39*Engagements!$P$9:$P$41))</f>
        <v>84.4945989995608</v>
      </c>
      <c r="Q60" s="67" t="n">
        <f aca="false">IF(Q$5="A",Inputs_Actuals!Q146+Inputs_Actuals!Q147,SUMPRODUCT((Engagement_Register!$C$7:$C$39="FIN")*Engagement_Register!$Z$7:$Z$39*Engagements!$Q$9:$Q$41))</f>
        <v>77.9209480873478</v>
      </c>
      <c r="R60" s="67" t="n">
        <f aca="false">IF(R$5="A",Inputs_Actuals!R146+Inputs_Actuals!R147,SUMPRODUCT((Engagement_Register!$C$7:$C$39="FIN")*Engagement_Register!$Z$7:$Z$39*Engagements!$R$9:$R$41))</f>
        <v>86.9088602581809</v>
      </c>
      <c r="S60" s="67" t="n">
        <f aca="false">IF(S$5="A",Inputs_Actuals!S146+Inputs_Actuals!S147,SUMPRODUCT((Engagement_Register!$C$7:$C$39="FIN")*Engagement_Register!$Z$7:$Z$39*Engagements!$S$9:$S$41))</f>
        <v>51.2278061607063</v>
      </c>
      <c r="T60" s="67" t="n">
        <f aca="false">IF(T$5="A",Inputs_Actuals!T146+Inputs_Actuals!T147,SUMPRODUCT((Engagement_Register!$C$7:$C$39="FIN")*Engagement_Register!$Z$7:$Z$39*Engagements!$T$9:$T$41))</f>
        <v>41.7697764899136</v>
      </c>
      <c r="U60" s="67" t="n">
        <f aca="false">IF(U$5="A",Inputs_Actuals!U146+Inputs_Actuals!U147,SUMPRODUCT((Engagement_Register!$C$7:$C$39="FIN")*Engagement_Register!$Z$7:$Z$39*Engagements!$U$9:$U$41))</f>
        <v>20.309661344401</v>
      </c>
      <c r="V60" s="67" t="n">
        <f aca="false">IF(V$5="A",Inputs_Actuals!V146+Inputs_Actuals!V147,SUMPRODUCT((Engagement_Register!$C$7:$C$39="FIN")*Engagement_Register!$Z$7:$Z$39*Engagements!$V$9:$V$41))</f>
        <v>14.3016196522537</v>
      </c>
      <c r="W60" s="67" t="n">
        <f aca="false">IF(W$5="A",Inputs_Actuals!W146+Inputs_Actuals!W147,SUMPRODUCT((Engagement_Register!$C$7:$C$39="FIN")*Engagement_Register!$Z$7:$Z$39*Engagements!$W$9:$W$41))</f>
        <v>7.3471713362069</v>
      </c>
      <c r="X60" s="67" t="n">
        <f aca="false">IF(X$5="A",Inputs_Actuals!X146+Inputs_Actuals!X147,SUMPRODUCT((Engagement_Register!$C$7:$C$39="FIN")*Engagement_Register!$Z$7:$Z$39*Engagements!$X$9:$X$41))</f>
        <v>0</v>
      </c>
      <c r="Y60" s="67" t="n">
        <f aca="false">IF(Y$5="A",Inputs_Actuals!Y146+Inputs_Actuals!Y147,SUMPRODUCT((Engagement_Register!$C$7:$C$39="FIN")*Engagement_Register!$Z$7:$Z$39*Engagements!$Y$9:$Y$41))</f>
        <v>0</v>
      </c>
      <c r="Z60" s="67" t="n">
        <f aca="false">IF(Z$5="A",Inputs_Actuals!Z146+Inputs_Actuals!Z147,SUMPRODUCT((Engagement_Register!$C$7:$C$39="FIN")*Engagement_Register!$Z$7:$Z$39*Engagements!$Z$9:$Z$41))</f>
        <v>0</v>
      </c>
      <c r="AA60" s="67" t="n">
        <f aca="false">IF(AA$5="A",Inputs_Actuals!AA146+Inputs_Actuals!AA147,SUMPRODUCT((Engagement_Register!$C$7:$C$39="FIN")*Engagement_Register!$Z$7:$Z$39*Engagements!$AA$9:$AA$41))</f>
        <v>0</v>
      </c>
      <c r="AB60" s="67" t="n">
        <f aca="false">IF(AB$5="A",Inputs_Actuals!AB146+Inputs_Actuals!AB147,SUMPRODUCT((Engagement_Register!$C$7:$C$39="FIN")*Engagement_Register!$Z$7:$Z$39*Engagements!$AB$9:$AB$41))</f>
        <v>0</v>
      </c>
    </row>
    <row r="61" customFormat="false" ht="15" hidden="false" customHeight="false" outlineLevel="0" collapsed="false">
      <c r="A61" s="29" t="s">
        <v>1004</v>
      </c>
      <c r="B61" s="60" t="s">
        <v>993</v>
      </c>
      <c r="C61" s="66" t="n">
        <f aca="false">SUM(E61:P61)</f>
        <v>25.8879683089552</v>
      </c>
      <c r="D61" s="66" t="n">
        <f aca="false">SUM(Q61:AB61)</f>
        <v>569.012972592221</v>
      </c>
      <c r="E61" s="72" t="n">
        <f aca="false">0</f>
        <v>0</v>
      </c>
      <c r="F61" s="72" t="n">
        <f aca="false">0</f>
        <v>0</v>
      </c>
      <c r="G61" s="72" t="n">
        <f aca="false">0</f>
        <v>0</v>
      </c>
      <c r="H61" s="72" t="n">
        <f aca="false">0</f>
        <v>0</v>
      </c>
      <c r="I61" s="72" t="n">
        <f aca="false">0</f>
        <v>0</v>
      </c>
      <c r="J61" s="72" t="n">
        <f aca="false">0</f>
        <v>0</v>
      </c>
      <c r="K61" s="72" t="n">
        <f aca="false">0</f>
        <v>0</v>
      </c>
      <c r="L61" s="72" t="n">
        <f aca="false">0</f>
        <v>0</v>
      </c>
      <c r="M61" s="67" t="n">
        <f aca="false">IF(Assumptions!M$186&gt;=Assumptions!$C$152,MAX(0,Assumptions!$F$65*M59-M60)*Assumptions!$F$168,0)</f>
        <v>0</v>
      </c>
      <c r="N61" s="67" t="n">
        <f aca="false">IF(Assumptions!N$186&gt;=Assumptions!$C$152,MAX(0,Assumptions!$F$65*N59-N60)*Assumptions!$F$168,0)</f>
        <v>0</v>
      </c>
      <c r="O61" s="67" t="n">
        <f aca="false">IF(Assumptions!O$186&gt;=Assumptions!$C$152,MAX(0,Assumptions!$F$65*O59-O60)*Assumptions!$F$168,0)</f>
        <v>22.5657882647381</v>
      </c>
      <c r="P61" s="67" t="n">
        <f aca="false">IF(Assumptions!P$186&gt;=Assumptions!$C$152,MAX(0,Assumptions!$F$65*P59-P60)*Assumptions!$F$168,0)</f>
        <v>3.32218004421711</v>
      </c>
      <c r="Q61" s="67" t="n">
        <f aca="false">IF(Assumptions!Q$186&gt;=Assumptions!$C$152,MAX(0,Assumptions!$F$65*Q59-Q60)*Assumptions!$F$168,0)</f>
        <v>0</v>
      </c>
      <c r="R61" s="67" t="n">
        <f aca="false">IF(Assumptions!R$186&gt;=Assumptions!$C$152,MAX(0,Assumptions!$F$65*R59-R60)*Assumptions!$F$168,0)</f>
        <v>0</v>
      </c>
      <c r="S61" s="67" t="n">
        <f aca="false">IF(Assumptions!S$186&gt;=Assumptions!$C$152,MAX(0,Assumptions!$F$65*S59-S60)*Assumptions!$F$168,0)</f>
        <v>26.146662621381</v>
      </c>
      <c r="T61" s="67" t="n">
        <f aca="false">IF(Assumptions!T$186&gt;=Assumptions!$C$152,MAX(0,Assumptions!$F$65*T59-T60)*Assumptions!$F$168,0)</f>
        <v>36.7471462630202</v>
      </c>
      <c r="U61" s="67" t="n">
        <f aca="false">IF(Assumptions!U$186&gt;=Assumptions!$C$152,MAX(0,Assumptions!$F$65*U59-U60)*Assumptions!$F$168,0)</f>
        <v>37.2278262450568</v>
      </c>
      <c r="V61" s="67" t="n">
        <f aca="false">IF(Assumptions!V$186&gt;=Assumptions!$C$152,MAX(0,Assumptions!$F$65*V59-V60)*Assumptions!$F$168,0)</f>
        <v>60.9972226948137</v>
      </c>
      <c r="W61" s="67" t="n">
        <f aca="false">IF(Assumptions!W$186&gt;=Assumptions!$C$152,MAX(0,Assumptions!$F$65*W59-W60)*Assumptions!$F$168,0)</f>
        <v>64.2852258769767</v>
      </c>
      <c r="X61" s="67" t="n">
        <f aca="false">IF(Assumptions!X$186&gt;=Assumptions!$C$152,MAX(0,Assumptions!$F$65*X59-X60)*Assumptions!$F$168,0)</f>
        <v>61.4400000015471</v>
      </c>
      <c r="Y61" s="67" t="n">
        <f aca="false">IF(Assumptions!Y$186&gt;=Assumptions!$C$152,MAX(0,Assumptions!$F$65*Y59-Y60)*Assumptions!$F$168,0)</f>
        <v>72.4385185190087</v>
      </c>
      <c r="Z61" s="67" t="n">
        <f aca="false">IF(Assumptions!Z$186&gt;=Assumptions!$C$152,MAX(0,Assumptions!$F$65*Z59-Z60)*Assumptions!$F$168,0)</f>
        <v>65.991111111169</v>
      </c>
      <c r="AA61" s="67" t="n">
        <f aca="false">IF(Assumptions!AA$186&gt;=Assumptions!$C$152,MAX(0,Assumptions!$F$65*AA59-AA60)*Assumptions!$F$168,0)</f>
        <v>69.0251851851757</v>
      </c>
      <c r="AB61" s="67" t="n">
        <f aca="false">IF(Assumptions!AB$186&gt;=Assumptions!$C$152,MAX(0,Assumptions!$F$65*AB59-AB60)*Assumptions!$F$168,0)</f>
        <v>74.7140740740717</v>
      </c>
    </row>
    <row r="62" customFormat="false" ht="15" hidden="false" customHeight="false" outlineLevel="0" collapsed="false">
      <c r="A62" s="29" t="s">
        <v>1005</v>
      </c>
      <c r="B62" s="60" t="s">
        <v>995</v>
      </c>
      <c r="C62" s="66" t="n">
        <f aca="false">SUM(E62:P62)</f>
        <v>821.214424979945</v>
      </c>
      <c r="D62" s="66" t="n">
        <f aca="false">SUM(Q62:AB62)</f>
        <v>868.798815921231</v>
      </c>
      <c r="E62" s="72" t="n">
        <f aca="false">E60+E61</f>
        <v>42.842</v>
      </c>
      <c r="F62" s="72" t="n">
        <f aca="false">F60+F61</f>
        <v>63.14</v>
      </c>
      <c r="G62" s="72" t="n">
        <f aca="false">G60+G61</f>
        <v>69.154</v>
      </c>
      <c r="H62" s="72" t="n">
        <f aca="false">H60+H61</f>
        <v>76.249</v>
      </c>
      <c r="I62" s="72" t="n">
        <f aca="false">I60+I61</f>
        <v>64.989</v>
      </c>
      <c r="J62" s="72" t="n">
        <f aca="false">J60+J61</f>
        <v>84.367</v>
      </c>
      <c r="K62" s="72" t="n">
        <f aca="false">K60+K61</f>
        <v>59.05</v>
      </c>
      <c r="L62" s="72" t="n">
        <f aca="false">L60+L61</f>
        <v>44.71</v>
      </c>
      <c r="M62" s="72" t="n">
        <f aca="false">M60+M61</f>
        <v>82.7335080545682</v>
      </c>
      <c r="N62" s="72" t="n">
        <f aca="false">N60+N61</f>
        <v>65.5320412672279</v>
      </c>
      <c r="O62" s="72" t="n">
        <f aca="false">O60+O61</f>
        <v>80.631096614371</v>
      </c>
      <c r="P62" s="72" t="n">
        <f aca="false">P60+P61</f>
        <v>87.8167790437779</v>
      </c>
      <c r="Q62" s="72" t="n">
        <f aca="false">Q60+Q61</f>
        <v>77.9209480873478</v>
      </c>
      <c r="R62" s="72" t="n">
        <f aca="false">R60+R61</f>
        <v>86.9088602581809</v>
      </c>
      <c r="S62" s="72" t="n">
        <f aca="false">S60+S61</f>
        <v>77.3744687820873</v>
      </c>
      <c r="T62" s="72" t="n">
        <f aca="false">T60+T61</f>
        <v>78.5169227529338</v>
      </c>
      <c r="U62" s="72" t="n">
        <f aca="false">U60+U61</f>
        <v>57.5374875894578</v>
      </c>
      <c r="V62" s="72" t="n">
        <f aca="false">V60+V61</f>
        <v>75.2988423470674</v>
      </c>
      <c r="W62" s="72" t="n">
        <f aca="false">W60+W61</f>
        <v>71.6323972131836</v>
      </c>
      <c r="X62" s="72" t="n">
        <f aca="false">X60+X61</f>
        <v>61.4400000015471</v>
      </c>
      <c r="Y62" s="72" t="n">
        <f aca="false">Y60+Y61</f>
        <v>72.4385185190087</v>
      </c>
      <c r="Z62" s="72" t="n">
        <f aca="false">Z60+Z61</f>
        <v>65.991111111169</v>
      </c>
      <c r="AA62" s="72" t="n">
        <f aca="false">AA60+AA61</f>
        <v>69.0251851851757</v>
      </c>
      <c r="AB62" s="72" t="n">
        <f aca="false">AB60+AB61</f>
        <v>74.7140740740717</v>
      </c>
    </row>
    <row r="63" customFormat="false" ht="15" hidden="false" customHeight="false" outlineLevel="0" collapsed="false">
      <c r="A63" s="29" t="s">
        <v>1006</v>
      </c>
      <c r="B63" s="60" t="s">
        <v>997</v>
      </c>
      <c r="C63" s="66" t="n">
        <f aca="false">SUM(E63:P63)</f>
        <v>820.813424979945</v>
      </c>
      <c r="D63" s="66" t="n">
        <f aca="false">SUM(Q63:AB63)</f>
        <v>868.798815921231</v>
      </c>
      <c r="E63" s="67" t="n">
        <f aca="false">IF(E$5="A",Inputs_Actuals!E146,MIN(E62,E59*Assumptions!$C$83))</f>
        <v>42.8</v>
      </c>
      <c r="F63" s="67" t="n">
        <f aca="false">IF(F$5="A",Inputs_Actuals!F146,MIN(F62,F59*Assumptions!$C$83))</f>
        <v>63.1</v>
      </c>
      <c r="G63" s="67" t="n">
        <f aca="false">IF(G$5="A",Inputs_Actuals!G146,MIN(G62,G59*Assumptions!$C$83))</f>
        <v>69.1</v>
      </c>
      <c r="H63" s="67" t="n">
        <f aca="false">IF(H$5="A",Inputs_Actuals!H146,MIN(H62,H59*Assumptions!$C$83))</f>
        <v>76.2</v>
      </c>
      <c r="I63" s="67" t="n">
        <f aca="false">IF(I$5="A",Inputs_Actuals!I146,MIN(I62,I59*Assumptions!$C$83))</f>
        <v>64.9</v>
      </c>
      <c r="J63" s="67" t="n">
        <f aca="false">IF(J$5="A",Inputs_Actuals!J146,MIN(J62,J59*Assumptions!$C$83))</f>
        <v>84.3</v>
      </c>
      <c r="K63" s="67" t="n">
        <f aca="false">IF(K$5="A",Inputs_Actuals!K146,MIN(K62,K59*Assumptions!$C$83))</f>
        <v>59</v>
      </c>
      <c r="L63" s="67" t="n">
        <f aca="false">IF(L$5="A",Inputs_Actuals!L146,MIN(L62,L59*Assumptions!$C$83))</f>
        <v>44.7</v>
      </c>
      <c r="M63" s="67" t="n">
        <f aca="false">IF(M$5="A",Inputs_Actuals!M146,MIN(M62,M59*Assumptions!$C$83))</f>
        <v>82.7335080545682</v>
      </c>
      <c r="N63" s="67" t="n">
        <f aca="false">IF(N$5="A",Inputs_Actuals!N146,MIN(N62,N59*Assumptions!$C$83))</f>
        <v>65.5320412672279</v>
      </c>
      <c r="O63" s="67" t="n">
        <f aca="false">IF(O$5="A",Inputs_Actuals!O146,MIN(O62,O59*Assumptions!$C$83))</f>
        <v>80.631096614371</v>
      </c>
      <c r="P63" s="67" t="n">
        <f aca="false">IF(P$5="A",Inputs_Actuals!P146,MIN(P62,P59*Assumptions!$C$83))</f>
        <v>87.8167790437779</v>
      </c>
      <c r="Q63" s="67" t="n">
        <f aca="false">IF(Q$5="A",Inputs_Actuals!Q146,MIN(Q62,Q59*Assumptions!$C$83))</f>
        <v>77.9209480873478</v>
      </c>
      <c r="R63" s="67" t="n">
        <f aca="false">IF(R$5="A",Inputs_Actuals!R146,MIN(R62,R59*Assumptions!$C$83))</f>
        <v>86.9088602581809</v>
      </c>
      <c r="S63" s="67" t="n">
        <f aca="false">IF(S$5="A",Inputs_Actuals!S146,MIN(S62,S59*Assumptions!$C$83))</f>
        <v>77.3744687820873</v>
      </c>
      <c r="T63" s="67" t="n">
        <f aca="false">IF(T$5="A",Inputs_Actuals!T146,MIN(T62,T59*Assumptions!$C$83))</f>
        <v>78.5169227529338</v>
      </c>
      <c r="U63" s="67" t="n">
        <f aca="false">IF(U$5="A",Inputs_Actuals!U146,MIN(U62,U59*Assumptions!$C$83))</f>
        <v>57.5374875894578</v>
      </c>
      <c r="V63" s="67" t="n">
        <f aca="false">IF(V$5="A",Inputs_Actuals!V146,MIN(V62,V59*Assumptions!$C$83))</f>
        <v>75.2988423470674</v>
      </c>
      <c r="W63" s="67" t="n">
        <f aca="false">IF(W$5="A",Inputs_Actuals!W146,MIN(W62,W59*Assumptions!$C$83))</f>
        <v>71.6323972131836</v>
      </c>
      <c r="X63" s="67" t="n">
        <f aca="false">IF(X$5="A",Inputs_Actuals!X146,MIN(X62,X59*Assumptions!$C$83))</f>
        <v>61.4400000015471</v>
      </c>
      <c r="Y63" s="67" t="n">
        <f aca="false">IF(Y$5="A",Inputs_Actuals!Y146,MIN(Y62,Y59*Assumptions!$C$83))</f>
        <v>72.4385185190087</v>
      </c>
      <c r="Z63" s="67" t="n">
        <f aca="false">IF(Z$5="A",Inputs_Actuals!Z146,MIN(Z62,Z59*Assumptions!$C$83))</f>
        <v>65.991111111169</v>
      </c>
      <c r="AA63" s="67" t="n">
        <f aca="false">IF(AA$5="A",Inputs_Actuals!AA146,MIN(AA62,AA59*Assumptions!$C$83))</f>
        <v>69.0251851851757</v>
      </c>
      <c r="AB63" s="67" t="n">
        <f aca="false">IF(AB$5="A",Inputs_Actuals!AB146,MIN(AB62,AB59*Assumptions!$C$83))</f>
        <v>74.7140740740717</v>
      </c>
    </row>
    <row r="64" customFormat="false" ht="15" hidden="false" customHeight="false" outlineLevel="0" collapsed="false">
      <c r="A64" s="29" t="s">
        <v>1007</v>
      </c>
      <c r="B64" s="60" t="s">
        <v>999</v>
      </c>
      <c r="C64" s="66" t="n">
        <f aca="false">SUM(E64:P64)</f>
        <v>0.401</v>
      </c>
      <c r="D64" s="66" t="n">
        <f aca="false">SUM(Q64:AB64)</f>
        <v>0</v>
      </c>
      <c r="E64" s="67" t="n">
        <f aca="false">IF(E$5="A",Inputs_Actuals!E147,E62-E63)</f>
        <v>0.042</v>
      </c>
      <c r="F64" s="67" t="n">
        <f aca="false">IF(F$5="A",Inputs_Actuals!F147,F62-F63)</f>
        <v>0.04</v>
      </c>
      <c r="G64" s="67" t="n">
        <f aca="false">IF(G$5="A",Inputs_Actuals!G147,G62-G63)</f>
        <v>0.054</v>
      </c>
      <c r="H64" s="67" t="n">
        <f aca="false">IF(H$5="A",Inputs_Actuals!H147,H62-H63)</f>
        <v>0.049</v>
      </c>
      <c r="I64" s="67" t="n">
        <f aca="false">IF(I$5="A",Inputs_Actuals!I147,I62-I63)</f>
        <v>0.089</v>
      </c>
      <c r="J64" s="67" t="n">
        <f aca="false">IF(J$5="A",Inputs_Actuals!J147,J62-J63)</f>
        <v>0.067</v>
      </c>
      <c r="K64" s="67" t="n">
        <f aca="false">IF(K$5="A",Inputs_Actuals!K147,K62-K63)</f>
        <v>0.05</v>
      </c>
      <c r="L64" s="67" t="n">
        <f aca="false">IF(L$5="A",Inputs_Actuals!L147,L62-L63)</f>
        <v>0.01</v>
      </c>
      <c r="M64" s="67" t="n">
        <f aca="false">IF(M$5="A",Inputs_Actuals!M147,M62-M63)</f>
        <v>0</v>
      </c>
      <c r="N64" s="67" t="n">
        <f aca="false">IF(N$5="A",Inputs_Actuals!N147,N62-N63)</f>
        <v>0</v>
      </c>
      <c r="O64" s="67" t="n">
        <f aca="false">IF(O$5="A",Inputs_Actuals!O147,O62-O63)</f>
        <v>0</v>
      </c>
      <c r="P64" s="67" t="n">
        <f aca="false">IF(P$5="A",Inputs_Actuals!P147,P62-P63)</f>
        <v>0</v>
      </c>
      <c r="Q64" s="67" t="n">
        <f aca="false">IF(Q$5="A",Inputs_Actuals!Q147,Q62-Q63)</f>
        <v>0</v>
      </c>
      <c r="R64" s="67" t="n">
        <f aca="false">IF(R$5="A",Inputs_Actuals!R147,R62-R63)</f>
        <v>0</v>
      </c>
      <c r="S64" s="67" t="n">
        <f aca="false">IF(S$5="A",Inputs_Actuals!S147,S62-S63)</f>
        <v>0</v>
      </c>
      <c r="T64" s="67" t="n">
        <f aca="false">IF(T$5="A",Inputs_Actuals!T147,T62-T63)</f>
        <v>0</v>
      </c>
      <c r="U64" s="67" t="n">
        <f aca="false">IF(U$5="A",Inputs_Actuals!U147,U62-U63)</f>
        <v>0</v>
      </c>
      <c r="V64" s="67" t="n">
        <f aca="false">IF(V$5="A",Inputs_Actuals!V147,V62-V63)</f>
        <v>0</v>
      </c>
      <c r="W64" s="67" t="n">
        <f aca="false">IF(W$5="A",Inputs_Actuals!W147,W62-W63)</f>
        <v>0</v>
      </c>
      <c r="X64" s="67" t="n">
        <f aca="false">IF(X$5="A",Inputs_Actuals!X147,X62-X63)</f>
        <v>0</v>
      </c>
      <c r="Y64" s="67" t="n">
        <f aca="false">IF(Y$5="A",Inputs_Actuals!Y147,Y62-Y63)</f>
        <v>0</v>
      </c>
      <c r="Z64" s="67" t="n">
        <f aca="false">IF(Z$5="A",Inputs_Actuals!Z147,Z62-Z63)</f>
        <v>0</v>
      </c>
      <c r="AA64" s="67" t="n">
        <f aca="false">IF(AA$5="A",Inputs_Actuals!AA147,AA62-AA63)</f>
        <v>0</v>
      </c>
      <c r="AB64" s="67" t="n">
        <f aca="false">IF(AB$5="A",Inputs_Actuals!AB147,AB62-AB63)</f>
        <v>0</v>
      </c>
    </row>
    <row r="65" customFormat="false" ht="15" hidden="false" customHeight="false" outlineLevel="0" collapsed="false">
      <c r="A65" s="29" t="s">
        <v>1008</v>
      </c>
      <c r="B65" s="60" t="s">
        <v>1001</v>
      </c>
      <c r="C65" s="63" t="n">
        <f aca="false">IF(C59=0,0,C63/C59)</f>
        <v>0.490192287902924</v>
      </c>
      <c r="D65" s="63" t="n">
        <f aca="false">IF(D59=0,0,D63/D59)</f>
        <v>0.521125484622985</v>
      </c>
      <c r="E65" s="64" t="n">
        <f aca="false">IF(E59=0,0,E63/E59)</f>
        <v>0.314705882352941</v>
      </c>
      <c r="F65" s="64" t="n">
        <f aca="false">IF(F59=0,0,F63/F59)</f>
        <v>0.478030303030303</v>
      </c>
      <c r="G65" s="64" t="n">
        <f aca="false">IF(G59=0,0,G63/G59)</f>
        <v>0.461898395721925</v>
      </c>
      <c r="H65" s="64" t="n">
        <f aca="false">IF(H59=0,0,H63/H59)</f>
        <v>0.577272727272727</v>
      </c>
      <c r="I65" s="64" t="n">
        <f aca="false">IF(I59=0,0,I63/I59)</f>
        <v>0.575354609929078</v>
      </c>
      <c r="J65" s="64" t="n">
        <f aca="false">IF(J59=0,0,J63/J59)</f>
        <v>0.582182320441989</v>
      </c>
      <c r="K65" s="64" t="n">
        <f aca="false">IF(K59=0,0,K63/K59)</f>
        <v>0.378205128205128</v>
      </c>
      <c r="L65" s="64" t="n">
        <f aca="false">IF(L59=0,0,L63/L59)</f>
        <v>0.367598684210526</v>
      </c>
      <c r="M65" s="64" t="n">
        <f aca="false">IF(M59=0,0,M63/M59)</f>
        <v>0.543715139792119</v>
      </c>
      <c r="N65" s="64" t="n">
        <f aca="false">IF(N59=0,0,N63/N59)</f>
        <v>0.448923735049891</v>
      </c>
      <c r="O65" s="64" t="n">
        <f aca="false">IF(O59=0,0,O63/O59)</f>
        <v>0.560765405825473</v>
      </c>
      <c r="P65" s="64" t="n">
        <f aca="false">IF(P59=0,0,P63/P59)</f>
        <v>0.594378544282687</v>
      </c>
      <c r="Q65" s="64" t="n">
        <f aca="false">IF(Q59=0,0,Q63/Q59)</f>
        <v>0.616376955917229</v>
      </c>
      <c r="R65" s="64" t="n">
        <f aca="false">IF(R59=0,0,R63/R59)</f>
        <v>0.666629987181891</v>
      </c>
      <c r="S65" s="64" t="n">
        <f aca="false">IF(S59=0,0,S63/S59)</f>
        <v>0.553260083783856</v>
      </c>
      <c r="T65" s="64" t="n">
        <f aca="false">IF(T59=0,0,T63/T59)</f>
        <v>0.537151210795158</v>
      </c>
      <c r="U65" s="64" t="n">
        <f aca="false">IF(U59=0,0,U63/U59)</f>
        <v>0.516460163477951</v>
      </c>
      <c r="V65" s="64" t="n">
        <f aca="false">IF(V59=0,0,V63/V59)</f>
        <v>0.498953389945389</v>
      </c>
      <c r="W65" s="64" t="n">
        <f aca="false">IF(W59=0,0,W63/W59)</f>
        <v>0.490052717540154</v>
      </c>
      <c r="X65" s="64" t="n">
        <f aca="false">IF(X59=0,0,X63/X59)</f>
        <v>0.48</v>
      </c>
      <c r="Y65" s="64" t="n">
        <f aca="false">IF(Y59=0,0,Y63/Y59)</f>
        <v>0.48</v>
      </c>
      <c r="Z65" s="64" t="n">
        <f aca="false">IF(Z59=0,0,Z63/Z59)</f>
        <v>0.48</v>
      </c>
      <c r="AA65" s="64" t="n">
        <f aca="false">IF(AA59=0,0,AA63/AA59)</f>
        <v>0.48</v>
      </c>
      <c r="AB65" s="64" t="n">
        <f aca="false">IF(AB59=0,0,AB63/AB59)</f>
        <v>0.48</v>
      </c>
    </row>
    <row r="66" customFormat="false" ht="15" hidden="false" customHeight="false" outlineLevel="0" collapsed="false">
      <c r="A66" s="29" t="s">
        <v>1009</v>
      </c>
      <c r="B66" s="60" t="s">
        <v>989</v>
      </c>
      <c r="C66" s="66" t="n">
        <f aca="false">SUM(E66:P66)</f>
        <v>3201.99158477623</v>
      </c>
      <c r="D66" s="66" t="n">
        <f aca="false">SUM(Q66:AB66)</f>
        <v>3293.64532922992</v>
      </c>
      <c r="E66" s="67" t="n">
        <f aca="false">(People!E70)*Assumptions!E$200</f>
        <v>136</v>
      </c>
      <c r="F66" s="67" t="n">
        <f aca="false">(People!F70)*Assumptions!F$200</f>
        <v>264</v>
      </c>
      <c r="G66" s="67" t="n">
        <f aca="false">(People!G70)*Assumptions!G$200</f>
        <v>299.2</v>
      </c>
      <c r="H66" s="67" t="n">
        <f aca="false">(People!H70)*Assumptions!H$200</f>
        <v>264</v>
      </c>
      <c r="I66" s="67" t="n">
        <f aca="false">(People!I70)*Assumptions!I$200</f>
        <v>225.6</v>
      </c>
      <c r="J66" s="67" t="n">
        <f aca="false">(People!J70)*Assumptions!J$200</f>
        <v>289.6</v>
      </c>
      <c r="K66" s="67" t="n">
        <f aca="false">(People!K70)*Assumptions!K$200</f>
        <v>312</v>
      </c>
      <c r="L66" s="67" t="n">
        <f aca="false">(People!L70)*Assumptions!L$200</f>
        <v>243.2</v>
      </c>
      <c r="M66" s="67" t="n">
        <f aca="false">(People!M70)*Assumptions!M$200</f>
        <v>303.053333333333</v>
      </c>
      <c r="N66" s="67" t="n">
        <f aca="false">(People!N70)*Assumptions!N$200</f>
        <v>289.513777777778</v>
      </c>
      <c r="O66" s="67" t="n">
        <f aca="false">(People!O70)*Assumptions!O$200</f>
        <v>283.980498148148</v>
      </c>
      <c r="P66" s="67" t="n">
        <f aca="false">(People!P70)*Assumptions!P$200</f>
        <v>291.843975516975</v>
      </c>
      <c r="Q66" s="67" t="n">
        <f aca="false">(People!Q70)*Assumptions!Q$200</f>
        <v>249.740746903292</v>
      </c>
      <c r="R66" s="67" t="n">
        <f aca="false">(People!R70)*Assumptions!R$200</f>
        <v>257.562421811431</v>
      </c>
      <c r="S66" s="67" t="n">
        <f aca="false">(People!S70)*Assumptions!S$200</f>
        <v>276.293272655177</v>
      </c>
      <c r="T66" s="67" t="n">
        <f aca="false">(People!T70)*Assumptions!T$200</f>
        <v>288.780617065848</v>
      </c>
      <c r="U66" s="67" t="n">
        <f aca="false">(People!U70)*Assumptions!U$200</f>
        <v>220.097545941056</v>
      </c>
      <c r="V66" s="67" t="n">
        <f aca="false">(People!V70)*Assumptions!V$200</f>
        <v>298.146335217908</v>
      </c>
      <c r="W66" s="67" t="n">
        <f aca="false">(People!W70)*Assumptions!W$200</f>
        <v>288.780486942499</v>
      </c>
      <c r="X66" s="67" t="n">
        <f aca="false">(People!X70)*Assumptions!X$200</f>
        <v>252.878048974872</v>
      </c>
      <c r="Y66" s="67" t="n">
        <f aca="false">(People!Y70)*Assumptions!Y$200</f>
        <v>298.14634152097</v>
      </c>
      <c r="Z66" s="67" t="n">
        <f aca="false">(People!Z70)*Assumptions!Z$200</f>
        <v>271.609756102143</v>
      </c>
      <c r="AA66" s="67" t="n">
        <f aca="false">(People!AA70)*Assumptions!AA$200</f>
        <v>284.097560973293</v>
      </c>
      <c r="AB66" s="67" t="n">
        <f aca="false">(People!AB70)*Assumptions!AB$200</f>
        <v>307.512195121434</v>
      </c>
    </row>
    <row r="67" customFormat="false" ht="15" hidden="false" customHeight="false" outlineLevel="0" collapsed="false">
      <c r="A67" s="29" t="s">
        <v>1010</v>
      </c>
      <c r="B67" s="60" t="s">
        <v>991</v>
      </c>
      <c r="C67" s="66" t="n">
        <f aca="false">SUM(E67:P67)</f>
        <v>2472.68168073208</v>
      </c>
      <c r="D67" s="66" t="n">
        <f aca="false">SUM(Q67:AB67)</f>
        <v>817.581569267921</v>
      </c>
      <c r="E67" s="67" t="n">
        <f aca="false">IF(E$5="A",Inputs_Actuals!E148+Inputs_Actuals!E149,SUMPRODUCT((Engagement_Register!$C$7:$C$39="FIN")*Engagement_Register!$AA$7:$AA$39*Engagements!$E$9:$E$41))</f>
        <v>168.039</v>
      </c>
      <c r="F67" s="67" t="n">
        <f aca="false">IF(F$5="A",Inputs_Actuals!F148+Inputs_Actuals!F149,SUMPRODUCT((Engagement_Register!$C$7:$C$39="FIN")*Engagement_Register!$AA$7:$AA$39*Engagements!$F$9:$F$41))</f>
        <v>225.36</v>
      </c>
      <c r="G67" s="67" t="n">
        <f aca="false">IF(G$5="A",Inputs_Actuals!G148+Inputs_Actuals!G149,SUMPRODUCT((Engagement_Register!$C$7:$C$39="FIN")*Engagement_Register!$AA$7:$AA$39*Engagements!$G$9:$G$41))</f>
        <v>244.818</v>
      </c>
      <c r="H67" s="67" t="n">
        <f aca="false">IF(H$5="A",Inputs_Actuals!H148+Inputs_Actuals!H149,SUMPRODUCT((Engagement_Register!$C$7:$C$39="FIN")*Engagement_Register!$AA$7:$AA$39*Engagements!$H$9:$H$41))</f>
        <v>258.629</v>
      </c>
      <c r="I67" s="67" t="n">
        <f aca="false">IF(I$5="A",Inputs_Actuals!I148+Inputs_Actuals!I149,SUMPRODUCT((Engagement_Register!$C$7:$C$39="FIN")*Engagement_Register!$AA$7:$AA$39*Engagements!$I$9:$I$41))</f>
        <v>219.41</v>
      </c>
      <c r="J67" s="67" t="n">
        <f aca="false">IF(J$5="A",Inputs_Actuals!J148+Inputs_Actuals!J149,SUMPRODUCT((Engagement_Register!$C$7:$C$39="FIN")*Engagement_Register!$AA$7:$AA$39*Engagements!$J$9:$J$41))</f>
        <v>283.963</v>
      </c>
      <c r="K67" s="67" t="n">
        <f aca="false">IF(K$5="A",Inputs_Actuals!K148+Inputs_Actuals!K149,SUMPRODUCT((Engagement_Register!$C$7:$C$39="FIN")*Engagement_Register!$AA$7:$AA$39*Engagements!$K$9:$K$41))</f>
        <v>157.884</v>
      </c>
      <c r="L67" s="67" t="n">
        <f aca="false">IF(L$5="A",Inputs_Actuals!L148+Inputs_Actuals!L149,SUMPRODUCT((Engagement_Register!$C$7:$C$39="FIN")*Engagement_Register!$AA$7:$AA$39*Engagements!$L$9:$L$41))</f>
        <v>119.706</v>
      </c>
      <c r="M67" s="67" t="n">
        <f aca="false">IF(M$5="A",Inputs_Actuals!M148+Inputs_Actuals!M149,SUMPRODUCT((Engagement_Register!$C$7:$C$39="FIN")*Engagement_Register!$AA$7:$AA$39*Engagements!$M$9:$M$41))</f>
        <v>223.309672304958</v>
      </c>
      <c r="N67" s="67" t="n">
        <f aca="false">IF(N$5="A",Inputs_Actuals!N148+Inputs_Actuals!N149,SUMPRODUCT((Engagement_Register!$C$7:$C$39="FIN")*Engagement_Register!$AA$7:$AA$39*Engagements!$N$9:$N$41))</f>
        <v>181.473345047708</v>
      </c>
      <c r="O67" s="67" t="n">
        <f aca="false">IF(O$5="A",Inputs_Actuals!O148+Inputs_Actuals!O149,SUMPRODUCT((Engagement_Register!$C$7:$C$39="FIN")*Engagement_Register!$AA$7:$AA$39*Engagements!$O$9:$O$41))</f>
        <v>160.796238506676</v>
      </c>
      <c r="P67" s="67" t="n">
        <f aca="false">IF(P$5="A",Inputs_Actuals!P148+Inputs_Actuals!P149,SUMPRODUCT((Engagement_Register!$C$7:$C$39="FIN")*Engagement_Register!$AA$7:$AA$39*Engagements!$P$9:$P$41))</f>
        <v>229.293424872737</v>
      </c>
      <c r="Q67" s="67" t="n">
        <f aca="false">IF(Q$5="A",Inputs_Actuals!Q148+Inputs_Actuals!Q149,SUMPRODUCT((Engagement_Register!$C$7:$C$39="FIN")*Engagement_Register!$AA$7:$AA$39*Engagements!$Q$9:$Q$41))</f>
        <v>211.766867964561</v>
      </c>
      <c r="R67" s="67" t="n">
        <f aca="false">IF(R$5="A",Inputs_Actuals!R148+Inputs_Actuals!R149,SUMPRODUCT((Engagement_Register!$C$7:$C$39="FIN")*Engagement_Register!$AA$7:$AA$39*Engagements!$R$9:$R$41))</f>
        <v>236.531026553971</v>
      </c>
      <c r="S67" s="67" t="n">
        <f aca="false">IF(S$5="A",Inputs_Actuals!S148+Inputs_Actuals!S149,SUMPRODUCT((Engagement_Register!$C$7:$C$39="FIN")*Engagement_Register!$AA$7:$AA$39*Engagements!$S$9:$S$41))</f>
        <v>137.420887240165</v>
      </c>
      <c r="T67" s="67" t="n">
        <f aca="false">IF(T$5="A",Inputs_Actuals!T148+Inputs_Actuals!T149,SUMPRODUCT((Engagement_Register!$C$7:$C$39="FIN")*Engagement_Register!$AA$7:$AA$39*Engagements!$T$9:$T$41))</f>
        <v>115.670150279761</v>
      </c>
      <c r="U67" s="67" t="n">
        <f aca="false">IF(U$5="A",Inputs_Actuals!U148+Inputs_Actuals!U149,SUMPRODUCT((Engagement_Register!$C$7:$C$39="FIN")*Engagement_Register!$AA$7:$AA$39*Engagements!$U$9:$U$41))</f>
        <v>56.2421391075719</v>
      </c>
      <c r="V67" s="67" t="n">
        <f aca="false">IF(V$5="A",Inputs_Actuals!V148+Inputs_Actuals!V149,SUMPRODUCT((Engagement_Register!$C$7:$C$39="FIN")*Engagement_Register!$AA$7:$AA$39*Engagements!$V$9:$V$41))</f>
        <v>39.6044851908565</v>
      </c>
      <c r="W67" s="67" t="n">
        <f aca="false">IF(W$5="A",Inputs_Actuals!W148+Inputs_Actuals!W149,SUMPRODUCT((Engagement_Register!$C$7:$C$39="FIN")*Engagement_Register!$AA$7:$AA$39*Engagements!$W$9:$W$41))</f>
        <v>20.3460129310345</v>
      </c>
      <c r="X67" s="67" t="n">
        <f aca="false">IF(X$5="A",Inputs_Actuals!X148+Inputs_Actuals!X149,SUMPRODUCT((Engagement_Register!$C$7:$C$39="FIN")*Engagement_Register!$AA$7:$AA$39*Engagements!$X$9:$X$41))</f>
        <v>0</v>
      </c>
      <c r="Y67" s="67" t="n">
        <f aca="false">IF(Y$5="A",Inputs_Actuals!Y148+Inputs_Actuals!Y149,SUMPRODUCT((Engagement_Register!$C$7:$C$39="FIN")*Engagement_Register!$AA$7:$AA$39*Engagements!$Y$9:$Y$41))</f>
        <v>0</v>
      </c>
      <c r="Z67" s="67" t="n">
        <f aca="false">IF(Z$5="A",Inputs_Actuals!Z148+Inputs_Actuals!Z149,SUMPRODUCT((Engagement_Register!$C$7:$C$39="FIN")*Engagement_Register!$AA$7:$AA$39*Engagements!$Z$9:$Z$41))</f>
        <v>0</v>
      </c>
      <c r="AA67" s="67" t="n">
        <f aca="false">IF(AA$5="A",Inputs_Actuals!AA148+Inputs_Actuals!AA149,SUMPRODUCT((Engagement_Register!$C$7:$C$39="FIN")*Engagement_Register!$AA$7:$AA$39*Engagements!$AA$9:$AA$41))</f>
        <v>0</v>
      </c>
      <c r="AB67" s="67" t="n">
        <f aca="false">IF(AB$5="A",Inputs_Actuals!AB148+Inputs_Actuals!AB149,SUMPRODUCT((Engagement_Register!$C$7:$C$39="FIN")*Engagement_Register!$AA$7:$AA$39*Engagements!$AB$9:$AB$41))</f>
        <v>0</v>
      </c>
    </row>
    <row r="68" customFormat="false" ht="15" hidden="false" customHeight="false" outlineLevel="0" collapsed="false">
      <c r="A68" s="29" t="s">
        <v>1011</v>
      </c>
      <c r="B68" s="60" t="s">
        <v>993</v>
      </c>
      <c r="C68" s="66" t="n">
        <f aca="false">SUM(E68:P68)</f>
        <v>41.7513080835483</v>
      </c>
      <c r="D68" s="66" t="n">
        <f aca="false">SUM(Q68:AB68)</f>
        <v>1376.37835650961</v>
      </c>
      <c r="E68" s="72" t="n">
        <f aca="false">0</f>
        <v>0</v>
      </c>
      <c r="F68" s="72" t="n">
        <f aca="false">0</f>
        <v>0</v>
      </c>
      <c r="G68" s="72" t="n">
        <f aca="false">0</f>
        <v>0</v>
      </c>
      <c r="H68" s="72" t="n">
        <f aca="false">0</f>
        <v>0</v>
      </c>
      <c r="I68" s="72" t="n">
        <f aca="false">0</f>
        <v>0</v>
      </c>
      <c r="J68" s="72" t="n">
        <f aca="false">0</f>
        <v>0</v>
      </c>
      <c r="K68" s="72" t="n">
        <f aca="false">0</f>
        <v>0</v>
      </c>
      <c r="L68" s="72" t="n">
        <f aca="false">0</f>
        <v>0</v>
      </c>
      <c r="M68" s="67" t="n">
        <f aca="false">IF(Assumptions!M$186&gt;=Assumptions!$C$152,MAX(0,Assumptions!$F$66*M66-M67)*Assumptions!$F$168,0)</f>
        <v>0</v>
      </c>
      <c r="N68" s="67" t="n">
        <f aca="false">IF(Assumptions!N$186&gt;=Assumptions!$C$152,MAX(0,Assumptions!$F$66*N66-N67)*Assumptions!$F$168,0)</f>
        <v>0</v>
      </c>
      <c r="O68" s="67" t="n">
        <f aca="false">IF(Assumptions!O$186&gt;=Assumptions!$C$152,MAX(0,Assumptions!$F$66*O66-O67)*Assumptions!$F$168,0)</f>
        <v>41.7513080835483</v>
      </c>
      <c r="P68" s="67" t="n">
        <f aca="false">IF(Assumptions!P$186&gt;=Assumptions!$C$152,MAX(0,Assumptions!$F$66*P66-P67)*Assumptions!$F$168,0)</f>
        <v>0</v>
      </c>
      <c r="Q68" s="67" t="n">
        <f aca="false">IF(Assumptions!Q$186&gt;=Assumptions!$C$152,MAX(0,Assumptions!$F$66*Q66-Q67)*Assumptions!$F$168,0)</f>
        <v>0</v>
      </c>
      <c r="R68" s="67" t="n">
        <f aca="false">IF(Assumptions!R$186&gt;=Assumptions!$C$152,MAX(0,Assumptions!$F$66*R66-R67)*Assumptions!$F$168,0)</f>
        <v>0</v>
      </c>
      <c r="S68" s="67" t="n">
        <f aca="false">IF(Assumptions!S$186&gt;=Assumptions!$C$152,MAX(0,Assumptions!$F$66*S66-S67)*Assumptions!$F$168,0)</f>
        <v>55.8392538009741</v>
      </c>
      <c r="T68" s="67" t="n">
        <f aca="false">IF(Assumptions!T$186&gt;=Assumptions!$C$152,MAX(0,Assumptions!$F$66*T66-T67)*Assumptions!$F$168,0)</f>
        <v>80.7322500157001</v>
      </c>
      <c r="U68" s="67" t="n">
        <f aca="false">IF(Assumptions!U$186&gt;=Assumptions!$C$152,MAX(0,Assumptions!$F$66*U66-U67)*Assumptions!$F$168,0)</f>
        <v>87.0648162785759</v>
      </c>
      <c r="V68" s="67" t="n">
        <f aca="false">IF(Assumptions!V$186&gt;=Assumptions!$C$152,MAX(0,Assumptions!$F$66*V66-V67)*Assumptions!$F$168,0)</f>
        <v>147.20421297806</v>
      </c>
      <c r="W68" s="67" t="n">
        <f aca="false">IF(Assumptions!W$186&gt;=Assumptions!$C$152,MAX(0,Assumptions!$F$66*W66-W67)*Assumptions!$F$168,0)</f>
        <v>156.991481820672</v>
      </c>
      <c r="X68" s="67" t="n">
        <f aca="false">IF(Assumptions!X$186&gt;=Assumptions!$C$152,MAX(0,Assumptions!$F$66*X66-X67)*Assumptions!$F$168,0)</f>
        <v>151.726829384923</v>
      </c>
      <c r="Y68" s="67" t="n">
        <f aca="false">IF(Assumptions!Y$186&gt;=Assumptions!$C$152,MAX(0,Assumptions!$F$66*Y66-Y67)*Assumptions!$F$168,0)</f>
        <v>178.887804912582</v>
      </c>
      <c r="Z68" s="67" t="n">
        <f aca="false">IF(Assumptions!Z$186&gt;=Assumptions!$C$152,MAX(0,Assumptions!$F$66*Z66-Z67)*Assumptions!$F$168,0)</f>
        <v>162.965853661286</v>
      </c>
      <c r="AA68" s="67" t="n">
        <f aca="false">IF(Assumptions!AA$186&gt;=Assumptions!$C$152,MAX(0,Assumptions!$F$66*AA66-AA67)*Assumptions!$F$168,0)</f>
        <v>170.458536583976</v>
      </c>
      <c r="AB68" s="67" t="n">
        <f aca="false">IF(Assumptions!AB$186&gt;=Assumptions!$C$152,MAX(0,Assumptions!$F$66*AB66-AB67)*Assumptions!$F$168,0)</f>
        <v>184.507317072861</v>
      </c>
    </row>
    <row r="69" customFormat="false" ht="15" hidden="false" customHeight="false" outlineLevel="0" collapsed="false">
      <c r="A69" s="29" t="s">
        <v>1012</v>
      </c>
      <c r="B69" s="60" t="s">
        <v>995</v>
      </c>
      <c r="C69" s="66" t="n">
        <f aca="false">SUM(E69:P69)</f>
        <v>2514.43298881563</v>
      </c>
      <c r="D69" s="66" t="n">
        <f aca="false">SUM(Q69:AB69)</f>
        <v>2193.95992577753</v>
      </c>
      <c r="E69" s="72" t="n">
        <f aca="false">E67+E68</f>
        <v>168.039</v>
      </c>
      <c r="F69" s="72" t="n">
        <f aca="false">F67+F68</f>
        <v>225.36</v>
      </c>
      <c r="G69" s="72" t="n">
        <f aca="false">G67+G68</f>
        <v>244.818</v>
      </c>
      <c r="H69" s="72" t="n">
        <f aca="false">H67+H68</f>
        <v>258.629</v>
      </c>
      <c r="I69" s="72" t="n">
        <f aca="false">I67+I68</f>
        <v>219.41</v>
      </c>
      <c r="J69" s="72" t="n">
        <f aca="false">J67+J68</f>
        <v>283.963</v>
      </c>
      <c r="K69" s="72" t="n">
        <f aca="false">K67+K68</f>
        <v>157.884</v>
      </c>
      <c r="L69" s="72" t="n">
        <f aca="false">L67+L68</f>
        <v>119.706</v>
      </c>
      <c r="M69" s="72" t="n">
        <f aca="false">M67+M68</f>
        <v>223.309672304958</v>
      </c>
      <c r="N69" s="72" t="n">
        <f aca="false">N67+N68</f>
        <v>181.473345047708</v>
      </c>
      <c r="O69" s="72" t="n">
        <f aca="false">O67+O68</f>
        <v>202.547546590224</v>
      </c>
      <c r="P69" s="72" t="n">
        <f aca="false">P67+P68</f>
        <v>229.293424872737</v>
      </c>
      <c r="Q69" s="72" t="n">
        <f aca="false">Q67+Q68</f>
        <v>211.766867964561</v>
      </c>
      <c r="R69" s="72" t="n">
        <f aca="false">R67+R68</f>
        <v>236.531026553971</v>
      </c>
      <c r="S69" s="72" t="n">
        <f aca="false">S67+S68</f>
        <v>193.260141041139</v>
      </c>
      <c r="T69" s="72" t="n">
        <f aca="false">T67+T68</f>
        <v>196.402400295461</v>
      </c>
      <c r="U69" s="72" t="n">
        <f aca="false">U67+U68</f>
        <v>143.306955386148</v>
      </c>
      <c r="V69" s="72" t="n">
        <f aca="false">V67+V68</f>
        <v>186.808698168916</v>
      </c>
      <c r="W69" s="72" t="n">
        <f aca="false">W67+W68</f>
        <v>177.337494751706</v>
      </c>
      <c r="X69" s="72" t="n">
        <f aca="false">X67+X68</f>
        <v>151.726829384923</v>
      </c>
      <c r="Y69" s="72" t="n">
        <f aca="false">Y67+Y68</f>
        <v>178.887804912582</v>
      </c>
      <c r="Z69" s="72" t="n">
        <f aca="false">Z67+Z68</f>
        <v>162.965853661286</v>
      </c>
      <c r="AA69" s="72" t="n">
        <f aca="false">AA67+AA68</f>
        <v>170.458536583976</v>
      </c>
      <c r="AB69" s="72" t="n">
        <f aca="false">AB67+AB68</f>
        <v>184.507317072861</v>
      </c>
    </row>
    <row r="70" customFormat="false" ht="15" hidden="false" customHeight="false" outlineLevel="0" collapsed="false">
      <c r="A70" s="29" t="s">
        <v>1013</v>
      </c>
      <c r="B70" s="60" t="s">
        <v>997</v>
      </c>
      <c r="C70" s="66" t="n">
        <f aca="false">SUM(E70:P70)</f>
        <v>2417.52398881563</v>
      </c>
      <c r="D70" s="66" t="n">
        <f aca="false">SUM(Q70:AB70)</f>
        <v>2189.23507885385</v>
      </c>
      <c r="E70" s="67" t="n">
        <f aca="false">IF(E$5="A",Inputs_Actuals!E148,MIN(E69,E66*Assumptions!$C$83))</f>
        <v>122.9</v>
      </c>
      <c r="F70" s="67" t="n">
        <f aca="false">IF(F$5="A",Inputs_Actuals!F148,MIN(F69,F66*Assumptions!$C$83))</f>
        <v>225.3</v>
      </c>
      <c r="G70" s="67" t="n">
        <f aca="false">IF(G$5="A",Inputs_Actuals!G148,MIN(G69,G66*Assumptions!$C$83))</f>
        <v>244.8</v>
      </c>
      <c r="H70" s="67" t="n">
        <f aca="false">IF(H$5="A",Inputs_Actuals!H148,MIN(H69,H66*Assumptions!$C$83))</f>
        <v>237.9</v>
      </c>
      <c r="I70" s="67" t="n">
        <f aca="false">IF(I$5="A",Inputs_Actuals!I148,MIN(I69,I66*Assumptions!$C$83))</f>
        <v>209.6</v>
      </c>
      <c r="J70" s="67" t="n">
        <f aca="false">IF(J$5="A",Inputs_Actuals!J148,MIN(J69,J66*Assumptions!$C$83))</f>
        <v>262.9</v>
      </c>
      <c r="K70" s="67" t="n">
        <f aca="false">IF(K$5="A",Inputs_Actuals!K148,MIN(K69,K66*Assumptions!$C$83))</f>
        <v>157.8</v>
      </c>
      <c r="L70" s="67" t="n">
        <f aca="false">IF(L$5="A",Inputs_Actuals!L148,MIN(L69,L66*Assumptions!$C$83))</f>
        <v>119.7</v>
      </c>
      <c r="M70" s="67" t="n">
        <f aca="false">IF(M$5="A",Inputs_Actuals!M148,MIN(M69,M66*Assumptions!$C$83))</f>
        <v>223.309672304958</v>
      </c>
      <c r="N70" s="67" t="n">
        <f aca="false">IF(N$5="A",Inputs_Actuals!N148,MIN(N69,N66*Assumptions!$C$83))</f>
        <v>181.473345047708</v>
      </c>
      <c r="O70" s="67" t="n">
        <f aca="false">IF(O$5="A",Inputs_Actuals!O148,MIN(O69,O66*Assumptions!$C$83))</f>
        <v>202.547546590224</v>
      </c>
      <c r="P70" s="67" t="n">
        <f aca="false">IF(P$5="A",Inputs_Actuals!P148,MIN(P69,P66*Assumptions!$C$83))</f>
        <v>229.293424872737</v>
      </c>
      <c r="Q70" s="67" t="n">
        <f aca="false">IF(Q$5="A",Inputs_Actuals!Q148,MIN(Q69,Q66*Assumptions!$C$83))</f>
        <v>211.766867964561</v>
      </c>
      <c r="R70" s="67" t="n">
        <f aca="false">IF(R$5="A",Inputs_Actuals!R148,MIN(R69,R66*Assumptions!$C$83))</f>
        <v>231.806179630288</v>
      </c>
      <c r="S70" s="67" t="n">
        <f aca="false">IF(S$5="A",Inputs_Actuals!S148,MIN(S69,S66*Assumptions!$C$83))</f>
        <v>193.260141041139</v>
      </c>
      <c r="T70" s="67" t="n">
        <f aca="false">IF(T$5="A",Inputs_Actuals!T148,MIN(T69,T66*Assumptions!$C$83))</f>
        <v>196.402400295461</v>
      </c>
      <c r="U70" s="67" t="n">
        <f aca="false">IF(U$5="A",Inputs_Actuals!U148,MIN(U69,U66*Assumptions!$C$83))</f>
        <v>143.306955386148</v>
      </c>
      <c r="V70" s="67" t="n">
        <f aca="false">IF(V$5="A",Inputs_Actuals!V148,MIN(V69,V66*Assumptions!$C$83))</f>
        <v>186.808698168916</v>
      </c>
      <c r="W70" s="67" t="n">
        <f aca="false">IF(W$5="A",Inputs_Actuals!W148,MIN(W69,W66*Assumptions!$C$83))</f>
        <v>177.337494751706</v>
      </c>
      <c r="X70" s="67" t="n">
        <f aca="false">IF(X$5="A",Inputs_Actuals!X148,MIN(X69,X66*Assumptions!$C$83))</f>
        <v>151.726829384923</v>
      </c>
      <c r="Y70" s="67" t="n">
        <f aca="false">IF(Y$5="A",Inputs_Actuals!Y148,MIN(Y69,Y66*Assumptions!$C$83))</f>
        <v>178.887804912582</v>
      </c>
      <c r="Z70" s="67" t="n">
        <f aca="false">IF(Z$5="A",Inputs_Actuals!Z148,MIN(Z69,Z66*Assumptions!$C$83))</f>
        <v>162.965853661286</v>
      </c>
      <c r="AA70" s="67" t="n">
        <f aca="false">IF(AA$5="A",Inputs_Actuals!AA148,MIN(AA69,AA66*Assumptions!$C$83))</f>
        <v>170.458536583976</v>
      </c>
      <c r="AB70" s="67" t="n">
        <f aca="false">IF(AB$5="A",Inputs_Actuals!AB148,MIN(AB69,AB66*Assumptions!$C$83))</f>
        <v>184.507317072861</v>
      </c>
    </row>
    <row r="71" customFormat="false" ht="15" hidden="false" customHeight="false" outlineLevel="0" collapsed="false">
      <c r="A71" s="29" t="s">
        <v>1014</v>
      </c>
      <c r="B71" s="60" t="s">
        <v>999</v>
      </c>
      <c r="C71" s="66" t="n">
        <f aca="false">SUM(E71:P71)</f>
        <v>96.909</v>
      </c>
      <c r="D71" s="66" t="n">
        <f aca="false">SUM(Q71:AB71)</f>
        <v>4.7248469236832</v>
      </c>
      <c r="E71" s="67" t="n">
        <f aca="false">IF(E$5="A",Inputs_Actuals!E149,E69-E70)</f>
        <v>45.139</v>
      </c>
      <c r="F71" s="67" t="n">
        <f aca="false">IF(F$5="A",Inputs_Actuals!F149,F69-F70)</f>
        <v>0.06</v>
      </c>
      <c r="G71" s="67" t="n">
        <f aca="false">IF(G$5="A",Inputs_Actuals!G149,G69-G70)</f>
        <v>0.018</v>
      </c>
      <c r="H71" s="67" t="n">
        <f aca="false">IF(H$5="A",Inputs_Actuals!H149,H69-H70)</f>
        <v>20.729</v>
      </c>
      <c r="I71" s="67" t="n">
        <f aca="false">IF(I$5="A",Inputs_Actuals!I149,I69-I70)</f>
        <v>9.81</v>
      </c>
      <c r="J71" s="67" t="n">
        <f aca="false">IF(J$5="A",Inputs_Actuals!J149,J69-J70)</f>
        <v>21.063</v>
      </c>
      <c r="K71" s="67" t="n">
        <f aca="false">IF(K$5="A",Inputs_Actuals!K149,K69-K70)</f>
        <v>0.084</v>
      </c>
      <c r="L71" s="67" t="n">
        <f aca="false">IF(L$5="A",Inputs_Actuals!L149,L69-L70)</f>
        <v>0.006</v>
      </c>
      <c r="M71" s="67" t="n">
        <f aca="false">IF(M$5="A",Inputs_Actuals!M149,M69-M70)</f>
        <v>0</v>
      </c>
      <c r="N71" s="67" t="n">
        <f aca="false">IF(N$5="A",Inputs_Actuals!N149,N69-N70)</f>
        <v>0</v>
      </c>
      <c r="O71" s="67" t="n">
        <f aca="false">IF(O$5="A",Inputs_Actuals!O149,O69-O70)</f>
        <v>0</v>
      </c>
      <c r="P71" s="67" t="n">
        <f aca="false">IF(P$5="A",Inputs_Actuals!P149,P69-P70)</f>
        <v>0</v>
      </c>
      <c r="Q71" s="67" t="n">
        <f aca="false">IF(Q$5="A",Inputs_Actuals!Q149,Q69-Q70)</f>
        <v>0</v>
      </c>
      <c r="R71" s="67" t="n">
        <f aca="false">IF(R$5="A",Inputs_Actuals!R149,R69-R70)</f>
        <v>4.7248469236832</v>
      </c>
      <c r="S71" s="67" t="n">
        <f aca="false">IF(S$5="A",Inputs_Actuals!S149,S69-S70)</f>
        <v>0</v>
      </c>
      <c r="T71" s="67" t="n">
        <f aca="false">IF(T$5="A",Inputs_Actuals!T149,T69-T70)</f>
        <v>0</v>
      </c>
      <c r="U71" s="67" t="n">
        <f aca="false">IF(U$5="A",Inputs_Actuals!U149,U69-U70)</f>
        <v>0</v>
      </c>
      <c r="V71" s="67" t="n">
        <f aca="false">IF(V$5="A",Inputs_Actuals!V149,V69-V70)</f>
        <v>0</v>
      </c>
      <c r="W71" s="67" t="n">
        <f aca="false">IF(W$5="A",Inputs_Actuals!W149,W69-W70)</f>
        <v>0</v>
      </c>
      <c r="X71" s="67" t="n">
        <f aca="false">IF(X$5="A",Inputs_Actuals!X149,X69-X70)</f>
        <v>0</v>
      </c>
      <c r="Y71" s="67" t="n">
        <f aca="false">IF(Y$5="A",Inputs_Actuals!Y149,Y69-Y70)</f>
        <v>0</v>
      </c>
      <c r="Z71" s="67" t="n">
        <f aca="false">IF(Z$5="A",Inputs_Actuals!Z149,Z69-Z70)</f>
        <v>0</v>
      </c>
      <c r="AA71" s="67" t="n">
        <f aca="false">IF(AA$5="A",Inputs_Actuals!AA149,AA69-AA70)</f>
        <v>0</v>
      </c>
      <c r="AB71" s="67" t="n">
        <f aca="false">IF(AB$5="A",Inputs_Actuals!AB149,AB69-AB70)</f>
        <v>0</v>
      </c>
    </row>
    <row r="72" customFormat="false" ht="15" hidden="false" customHeight="false" outlineLevel="0" collapsed="false">
      <c r="A72" s="29" t="s">
        <v>1015</v>
      </c>
      <c r="B72" s="60" t="s">
        <v>1001</v>
      </c>
      <c r="C72" s="63" t="n">
        <f aca="false">IF(C66=0,0,C70/C66)</f>
        <v>0.755006353017811</v>
      </c>
      <c r="D72" s="63" t="n">
        <f aca="false">IF(D66=0,0,D70/D66)</f>
        <v>0.664684524294456</v>
      </c>
      <c r="E72" s="64" t="n">
        <f aca="false">IF(E66=0,0,E70/E66)</f>
        <v>0.903676470588235</v>
      </c>
      <c r="F72" s="64" t="n">
        <f aca="false">IF(F66=0,0,F70/F66)</f>
        <v>0.853409090909091</v>
      </c>
      <c r="G72" s="64" t="n">
        <f aca="false">IF(G66=0,0,G70/G66)</f>
        <v>0.818181818181818</v>
      </c>
      <c r="H72" s="64" t="n">
        <f aca="false">IF(H66=0,0,H70/H66)</f>
        <v>0.901136363636364</v>
      </c>
      <c r="I72" s="64" t="n">
        <f aca="false">IF(I66=0,0,I70/I66)</f>
        <v>0.929078014184397</v>
      </c>
      <c r="J72" s="64" t="n">
        <f aca="false">IF(J66=0,0,J70/J66)</f>
        <v>0.907803867403315</v>
      </c>
      <c r="K72" s="64" t="n">
        <f aca="false">IF(K66=0,0,K70/K66)</f>
        <v>0.505769230769231</v>
      </c>
      <c r="L72" s="64" t="n">
        <f aca="false">IF(L66=0,0,L70/L66)</f>
        <v>0.4921875</v>
      </c>
      <c r="M72" s="64" t="n">
        <f aca="false">IF(M66=0,0,M70/M66)</f>
        <v>0.736865916796685</v>
      </c>
      <c r="N72" s="64" t="n">
        <f aca="false">IF(N66=0,0,N70/N66)</f>
        <v>0.626821101367416</v>
      </c>
      <c r="O72" s="64" t="n">
        <f aca="false">IF(O66=0,0,O70/O66)</f>
        <v>0.713244564014245</v>
      </c>
      <c r="P72" s="64" t="n">
        <f aca="false">IF(P66=0,0,P70/P66)</f>
        <v>0.78567126310065</v>
      </c>
      <c r="Q72" s="64" t="n">
        <f aca="false">IF(Q66=0,0,Q70/Q66)</f>
        <v>0.847946803196534</v>
      </c>
      <c r="R72" s="64" t="n">
        <f aca="false">IF(R66=0,0,R70/R66)</f>
        <v>0.9</v>
      </c>
      <c r="S72" s="64" t="n">
        <f aca="false">IF(S66=0,0,S70/S66)</f>
        <v>0.699474653088402</v>
      </c>
      <c r="T72" s="64" t="n">
        <f aca="false">IF(T66=0,0,T70/T66)</f>
        <v>0.680109358761697</v>
      </c>
      <c r="U72" s="64" t="n">
        <f aca="false">IF(U66=0,0,U70/U66)</f>
        <v>0.651106557201355</v>
      </c>
      <c r="V72" s="64" t="n">
        <f aca="false">IF(V66=0,0,V70/V66)</f>
        <v>0.626567145399866</v>
      </c>
      <c r="W72" s="64" t="n">
        <f aca="false">IF(W66=0,0,W70/W66)</f>
        <v>0.614090988727424</v>
      </c>
      <c r="X72" s="64" t="n">
        <f aca="false">IF(X66=0,0,X70/X66)</f>
        <v>0.6</v>
      </c>
      <c r="Y72" s="64" t="n">
        <f aca="false">IF(Y66=0,0,Y70/Y66)</f>
        <v>0.6</v>
      </c>
      <c r="Z72" s="64" t="n">
        <f aca="false">IF(Z66=0,0,Z70/Z66)</f>
        <v>0.6</v>
      </c>
      <c r="AA72" s="64" t="n">
        <f aca="false">IF(AA66=0,0,AA70/AA66)</f>
        <v>0.6</v>
      </c>
      <c r="AB72" s="64" t="n">
        <f aca="false">IF(AB66=0,0,AB70/AB66)</f>
        <v>0.6</v>
      </c>
    </row>
    <row r="73" customFormat="false" ht="15" hidden="false" customHeight="false" outlineLevel="0" collapsed="false">
      <c r="A73" s="29" t="s">
        <v>1016</v>
      </c>
      <c r="B73" s="60" t="s">
        <v>989</v>
      </c>
      <c r="C73" s="66" t="n">
        <f aca="false">SUM(E73:P73)</f>
        <v>4990.71015158203</v>
      </c>
      <c r="D73" s="66" t="n">
        <f aca="false">SUM(Q73:AB73)</f>
        <v>6517.06705773587</v>
      </c>
      <c r="E73" s="67" t="n">
        <f aca="false">(People!E73)*Assumptions!E$200</f>
        <v>408</v>
      </c>
      <c r="F73" s="67" t="n">
        <f aca="false">(People!F73)*Assumptions!F$200</f>
        <v>396</v>
      </c>
      <c r="G73" s="67" t="n">
        <f aca="false">(People!G73)*Assumptions!G$200</f>
        <v>448.8</v>
      </c>
      <c r="H73" s="67" t="n">
        <f aca="false">(People!H73)*Assumptions!H$200</f>
        <v>396</v>
      </c>
      <c r="I73" s="67" t="n">
        <f aca="false">(People!I73)*Assumptions!I$200</f>
        <v>338.4</v>
      </c>
      <c r="J73" s="67" t="n">
        <f aca="false">(People!J73)*Assumptions!J$200</f>
        <v>434.4</v>
      </c>
      <c r="K73" s="67" t="n">
        <f aca="false">(People!K73)*Assumptions!K$200</f>
        <v>468</v>
      </c>
      <c r="L73" s="67" t="n">
        <f aca="false">(People!L73)*Assumptions!L$200</f>
        <v>364.8</v>
      </c>
      <c r="M73" s="67" t="n">
        <f aca="false">(People!M73)*Assumptions!M$200</f>
        <v>452.67</v>
      </c>
      <c r="N73" s="67" t="n">
        <f aca="false">(People!N73)*Assumptions!N$200</f>
        <v>430.629</v>
      </c>
      <c r="O73" s="67" t="n">
        <f aca="false">(People!O73)*Assumptions!O$200</f>
        <v>420.623896875</v>
      </c>
      <c r="P73" s="67" t="n">
        <f aca="false">(People!P73)*Assumptions!P$200</f>
        <v>432.387254707031</v>
      </c>
      <c r="Q73" s="67" t="n">
        <f aca="false">(People!Q73)*Assumptions!Q$200</f>
        <v>498.072546757813</v>
      </c>
      <c r="R73" s="67" t="n">
        <f aca="false">(People!R73)*Assumptions!R$200</f>
        <v>512.043870858444</v>
      </c>
      <c r="S73" s="67" t="n">
        <f aca="false">(People!S73)*Assumptions!S$200</f>
        <v>547.530735980317</v>
      </c>
      <c r="T73" s="67" t="n">
        <f aca="false">(People!T73)*Assumptions!T$200</f>
        <v>570.471449191542</v>
      </c>
      <c r="U73" s="67" t="n">
        <f aca="false">(People!U73)*Assumptions!U$200</f>
        <v>434.843436650892</v>
      </c>
      <c r="V73" s="67" t="n">
        <f aca="false">(People!V73)*Assumptions!V$200</f>
        <v>589.089316067196</v>
      </c>
      <c r="W73" s="67" t="n">
        <f aca="false">(People!W73)*Assumptions!W$200</f>
        <v>570.605067467858</v>
      </c>
      <c r="X73" s="67" t="n">
        <f aca="false">(People!X73)*Assumptions!X$200</f>
        <v>499.663515420451</v>
      </c>
      <c r="Y73" s="67" t="n">
        <f aca="false">(People!Y73)*Assumptions!Y$200</f>
        <v>589.108625660033</v>
      </c>
      <c r="Z73" s="67" t="n">
        <f aca="false">(People!Z73)*Assumptions!Z$200</f>
        <v>536.674653751211</v>
      </c>
      <c r="AA73" s="67" t="n">
        <f aca="false">(People!AA73)*Assumptions!AA$200</f>
        <v>561.349383748458</v>
      </c>
      <c r="AB73" s="67" t="n">
        <f aca="false">(People!AB73)*Assumptions!AB$200</f>
        <v>607.614456181658</v>
      </c>
    </row>
    <row r="74" customFormat="false" ht="15" hidden="false" customHeight="false" outlineLevel="0" collapsed="false">
      <c r="A74" s="29" t="s">
        <v>1017</v>
      </c>
      <c r="B74" s="60" t="s">
        <v>991</v>
      </c>
      <c r="C74" s="66" t="n">
        <f aca="false">SUM(E74:P74)</f>
        <v>4216.32539197349</v>
      </c>
      <c r="D74" s="66" t="n">
        <f aca="false">SUM(Q74:AB74)</f>
        <v>1483.59145802651</v>
      </c>
      <c r="E74" s="67" t="n">
        <f aca="false">IF(E$5="A",Inputs_Actuals!E150+Inputs_Actuals!E151,SUMPRODUCT((Engagement_Register!$C$7:$C$39="FIN")*Engagement_Register!$AB$7:$AB$39*Engagements!$E$9:$E$41))</f>
        <v>262.88</v>
      </c>
      <c r="F74" s="67" t="n">
        <f aca="false">IF(F$5="A",Inputs_Actuals!F150+Inputs_Actuals!F151,SUMPRODUCT((Engagement_Register!$C$7:$C$39="FIN")*Engagement_Register!$AB$7:$AB$39*Engagements!$F$9:$F$41))</f>
        <v>366.952</v>
      </c>
      <c r="G74" s="67" t="n">
        <f aca="false">IF(G$5="A",Inputs_Actuals!G150+Inputs_Actuals!G151,SUMPRODUCT((Engagement_Register!$C$7:$C$39="FIN")*Engagement_Register!$AB$7:$AB$39*Engagements!$G$9:$G$41))</f>
        <v>400.06</v>
      </c>
      <c r="H74" s="67" t="n">
        <f aca="false">IF(H$5="A",Inputs_Actuals!H150+Inputs_Actuals!H151,SUMPRODUCT((Engagement_Register!$C$7:$C$39="FIN")*Engagement_Register!$AB$7:$AB$39*Engagements!$H$9:$H$41))</f>
        <v>421.737</v>
      </c>
      <c r="I74" s="67" t="n">
        <f aca="false">IF(I$5="A",Inputs_Actuals!I150+Inputs_Actuals!I151,SUMPRODUCT((Engagement_Register!$C$7:$C$39="FIN")*Engagement_Register!$AB$7:$AB$39*Engagements!$I$9:$I$41))</f>
        <v>358.317</v>
      </c>
      <c r="J74" s="67" t="n">
        <f aca="false">IF(J$5="A",Inputs_Actuals!J150+Inputs_Actuals!J151,SUMPRODUCT((Engagement_Register!$C$7:$C$39="FIN")*Engagement_Register!$AB$7:$AB$39*Engagements!$J$9:$J$41))</f>
        <v>464.793</v>
      </c>
      <c r="K74" s="67" t="n">
        <f aca="false">IF(K$5="A",Inputs_Actuals!K150+Inputs_Actuals!K151,SUMPRODUCT((Engagement_Register!$C$7:$C$39="FIN")*Engagement_Register!$AB$7:$AB$39*Engagements!$K$9:$K$41))</f>
        <v>282.6</v>
      </c>
      <c r="L74" s="67" t="n">
        <f aca="false">IF(L$5="A",Inputs_Actuals!L150+Inputs_Actuals!L151,SUMPRODUCT((Engagement_Register!$C$7:$C$39="FIN")*Engagement_Register!$AB$7:$AB$39*Engagements!$L$9:$L$41))</f>
        <v>214.47</v>
      </c>
      <c r="M74" s="67" t="n">
        <f aca="false">IF(M$5="A",Inputs_Actuals!M150+Inputs_Actuals!M151,SUMPRODUCT((Engagement_Register!$C$7:$C$39="FIN")*Engagement_Register!$AB$7:$AB$39*Engagements!$M$9:$M$41))</f>
        <v>402.353290892423</v>
      </c>
      <c r="N74" s="67" t="n">
        <f aca="false">IF(N$5="A",Inputs_Actuals!N150+Inputs_Actuals!N151,SUMPRODUCT((Engagement_Register!$C$7:$C$39="FIN")*Engagement_Register!$AB$7:$AB$39*Engagements!$N$9:$N$41))</f>
        <v>332.701132587465</v>
      </c>
      <c r="O74" s="67" t="n">
        <f aca="false">IF(O$5="A",Inputs_Actuals!O150+Inputs_Actuals!O151,SUMPRODUCT((Engagement_Register!$C$7:$C$39="FIN")*Engagement_Register!$AB$7:$AB$39*Engagements!$O$9:$O$41))</f>
        <v>294.793103928906</v>
      </c>
      <c r="P74" s="67" t="n">
        <f aca="false">IF(P$5="A",Inputs_Actuals!P150+Inputs_Actuals!P151,SUMPRODUCT((Engagement_Register!$C$7:$C$39="FIN")*Engagement_Register!$AB$7:$AB$39*Engagements!$P$9:$P$41))</f>
        <v>414.668864564701</v>
      </c>
      <c r="Q74" s="67" t="n">
        <f aca="false">IF(Q$5="A",Inputs_Actuals!Q150+Inputs_Actuals!Q151,SUMPRODUCT((Engagement_Register!$C$7:$C$39="FIN")*Engagement_Register!$AB$7:$AB$39*Engagements!$Q$9:$Q$41))</f>
        <v>383.360186817467</v>
      </c>
      <c r="R74" s="67" t="n">
        <f aca="false">IF(R$5="A",Inputs_Actuals!R150+Inputs_Actuals!R151,SUMPRODUCT((Engagement_Register!$C$7:$C$39="FIN")*Engagement_Register!$AB$7:$AB$39*Engagements!$R$9:$R$41))</f>
        <v>428.608673258962</v>
      </c>
      <c r="S74" s="67" t="n">
        <f aca="false">IF(S$5="A",Inputs_Actuals!S150+Inputs_Actuals!S151,SUMPRODUCT((Engagement_Register!$C$7:$C$39="FIN")*Engagement_Register!$AB$7:$AB$39*Engagements!$S$9:$S$41))</f>
        <v>246.540820849834</v>
      </c>
      <c r="T74" s="67" t="n">
        <f aca="false">IF(T$5="A",Inputs_Actuals!T150+Inputs_Actuals!T151,SUMPRODUCT((Engagement_Register!$C$7:$C$39="FIN")*Engagement_Register!$AB$7:$AB$39*Engagements!$T$9:$T$41))</f>
        <v>212.061942179561</v>
      </c>
      <c r="U74" s="67" t="n">
        <f aca="false">IF(U$5="A",Inputs_Actuals!U150+Inputs_Actuals!U151,SUMPRODUCT((Engagement_Register!$C$7:$C$39="FIN")*Engagement_Register!$AB$7:$AB$39*Engagements!$U$9:$U$41))</f>
        <v>103.110588363882</v>
      </c>
      <c r="V74" s="67" t="n">
        <f aca="false">IF(V$5="A",Inputs_Actuals!V150+Inputs_Actuals!V151,SUMPRODUCT((Engagement_Register!$C$7:$C$39="FIN")*Engagement_Register!$AB$7:$AB$39*Engagements!$V$9:$V$41))</f>
        <v>72.6082228499036</v>
      </c>
      <c r="W74" s="67" t="n">
        <f aca="false">IF(W$5="A",Inputs_Actuals!W150+Inputs_Actuals!W151,SUMPRODUCT((Engagement_Register!$C$7:$C$39="FIN")*Engagement_Register!$AB$7:$AB$39*Engagements!$W$9:$W$41))</f>
        <v>37.3010237068966</v>
      </c>
      <c r="X74" s="67" t="n">
        <f aca="false">IF(X$5="A",Inputs_Actuals!X150+Inputs_Actuals!X151,SUMPRODUCT((Engagement_Register!$C$7:$C$39="FIN")*Engagement_Register!$AB$7:$AB$39*Engagements!$X$9:$X$41))</f>
        <v>0</v>
      </c>
      <c r="Y74" s="67" t="n">
        <f aca="false">IF(Y$5="A",Inputs_Actuals!Y150+Inputs_Actuals!Y151,SUMPRODUCT((Engagement_Register!$C$7:$C$39="FIN")*Engagement_Register!$AB$7:$AB$39*Engagements!$Y$9:$Y$41))</f>
        <v>0</v>
      </c>
      <c r="Z74" s="67" t="n">
        <f aca="false">IF(Z$5="A",Inputs_Actuals!Z150+Inputs_Actuals!Z151,SUMPRODUCT((Engagement_Register!$C$7:$C$39="FIN")*Engagement_Register!$AB$7:$AB$39*Engagements!$Z$9:$Z$41))</f>
        <v>0</v>
      </c>
      <c r="AA74" s="67" t="n">
        <f aca="false">IF(AA$5="A",Inputs_Actuals!AA150+Inputs_Actuals!AA151,SUMPRODUCT((Engagement_Register!$C$7:$C$39="FIN")*Engagement_Register!$AB$7:$AB$39*Engagements!$AA$9:$AA$41))</f>
        <v>0</v>
      </c>
      <c r="AB74" s="67" t="n">
        <f aca="false">IF(AB$5="A",Inputs_Actuals!AB150+Inputs_Actuals!AB151,SUMPRODUCT((Engagement_Register!$C$7:$C$39="FIN")*Engagement_Register!$AB$7:$AB$39*Engagements!$AB$9:$AB$41))</f>
        <v>0</v>
      </c>
    </row>
    <row r="75" customFormat="false" ht="15" hidden="false" customHeight="false" outlineLevel="0" collapsed="false">
      <c r="A75" s="29" t="s">
        <v>1018</v>
      </c>
      <c r="B75" s="60" t="s">
        <v>993</v>
      </c>
      <c r="C75" s="66" t="n">
        <f aca="false">SUM(E75:P75)</f>
        <v>40.0947932068755</v>
      </c>
      <c r="D75" s="66" t="n">
        <f aca="false">SUM(Q75:AB75)</f>
        <v>3095.30898277756</v>
      </c>
      <c r="E75" s="72" t="n">
        <f aca="false">0</f>
        <v>0</v>
      </c>
      <c r="F75" s="72" t="n">
        <f aca="false">0</f>
        <v>0</v>
      </c>
      <c r="G75" s="72" t="n">
        <f aca="false">0</f>
        <v>0</v>
      </c>
      <c r="H75" s="72" t="n">
        <f aca="false">0</f>
        <v>0</v>
      </c>
      <c r="I75" s="72" t="n">
        <f aca="false">0</f>
        <v>0</v>
      </c>
      <c r="J75" s="72" t="n">
        <f aca="false">0</f>
        <v>0</v>
      </c>
      <c r="K75" s="72" t="n">
        <f aca="false">0</f>
        <v>0</v>
      </c>
      <c r="L75" s="72" t="n">
        <f aca="false">0</f>
        <v>0</v>
      </c>
      <c r="M75" s="67" t="n">
        <f aca="false">IF(Assumptions!M$186&gt;=Assumptions!$C$152,MAX(0,Assumptions!$F$67*M73-M74)*Assumptions!$F$168,0)</f>
        <v>0</v>
      </c>
      <c r="N75" s="67" t="n">
        <f aca="false">IF(Assumptions!N$186&gt;=Assumptions!$C$152,MAX(0,Assumptions!$F$67*N73-N74)*Assumptions!$F$168,0)</f>
        <v>0</v>
      </c>
      <c r="O75" s="67" t="n">
        <f aca="false">IF(Assumptions!O$186&gt;=Assumptions!$C$152,MAX(0,Assumptions!$F$67*O73-O74)*Assumptions!$F$168,0)</f>
        <v>40.0947932068755</v>
      </c>
      <c r="P75" s="67" t="n">
        <f aca="false">IF(Assumptions!P$186&gt;=Assumptions!$C$152,MAX(0,Assumptions!$F$67*P73-P74)*Assumptions!$F$168,0)</f>
        <v>0</v>
      </c>
      <c r="Q75" s="67" t="n">
        <f aca="false">IF(Assumptions!Q$186&gt;=Assumptions!$C$152,MAX(0,Assumptions!$F$67*Q73-Q74)*Assumptions!$F$168,0)</f>
        <v>20.0474412191511</v>
      </c>
      <c r="R75" s="67" t="n">
        <f aca="false">IF(Assumptions!R$186&gt;=Assumptions!$C$152,MAX(0,Assumptions!$F$67*R73-R74)*Assumptions!$F$168,0)</f>
        <v>0</v>
      </c>
      <c r="S75" s="67" t="n">
        <f aca="false">IF(Assumptions!S$186&gt;=Assumptions!$C$152,MAX(0,Assumptions!$F$67*S73-S74)*Assumptions!$F$168,0)</f>
        <v>161.947506123221</v>
      </c>
      <c r="T75" s="67" t="n">
        <f aca="false">IF(Assumptions!T$186&gt;=Assumptions!$C$152,MAX(0,Assumptions!$F$67*T73-T74)*Assumptions!$F$168,0)</f>
        <v>204.579716926003</v>
      </c>
      <c r="U75" s="67" t="n">
        <f aca="false">IF(Assumptions!U$186&gt;=Assumptions!$C$152,MAX(0,Assumptions!$F$67*U73-U74)*Assumptions!$F$168,0)</f>
        <v>202.76882375188</v>
      </c>
      <c r="V75" s="67" t="n">
        <f aca="false">IF(Assumptions!V$186&gt;=Assumptions!$C$152,MAX(0,Assumptions!$F$67*V73-V74)*Assumptions!$F$168,0)</f>
        <v>328.356013060158</v>
      </c>
      <c r="W75" s="67" t="n">
        <f aca="false">IF(Assumptions!W$186&gt;=Assumptions!$C$152,MAX(0,Assumptions!$F$67*W73-W74)*Assumptions!$F$168,0)</f>
        <v>344.476105293398</v>
      </c>
      <c r="X75" s="67" t="n">
        <f aca="false">IF(Assumptions!X$186&gt;=Assumptions!$C$152,MAX(0,Assumptions!$F$67*X73-X74)*Assumptions!$F$168,0)</f>
        <v>327.779266115816</v>
      </c>
      <c r="Y75" s="67" t="n">
        <f aca="false">IF(Assumptions!Y$186&gt;=Assumptions!$C$152,MAX(0,Assumptions!$F$67*Y73-Y74)*Assumptions!$F$168,0)</f>
        <v>386.455258432981</v>
      </c>
      <c r="Z75" s="67" t="n">
        <f aca="false">IF(Assumptions!Z$186&gt;=Assumptions!$C$152,MAX(0,Assumptions!$F$67*Z73-Z74)*Assumptions!$F$168,0)</f>
        <v>352.058572860794</v>
      </c>
      <c r="AA75" s="67" t="n">
        <f aca="false">IF(Assumptions!AA$186&gt;=Assumptions!$C$152,MAX(0,Assumptions!$F$67*AA73-AA74)*Assumptions!$F$168,0)</f>
        <v>368.245195738989</v>
      </c>
      <c r="AB75" s="67" t="n">
        <f aca="false">IF(Assumptions!AB$186&gt;=Assumptions!$C$152,MAX(0,Assumptions!$F$67*AB73-AB74)*Assumptions!$F$168,0)</f>
        <v>398.595083255168</v>
      </c>
    </row>
    <row r="76" customFormat="false" ht="15" hidden="false" customHeight="false" outlineLevel="0" collapsed="false">
      <c r="A76" s="29" t="s">
        <v>1019</v>
      </c>
      <c r="B76" s="60" t="s">
        <v>995</v>
      </c>
      <c r="C76" s="66" t="n">
        <f aca="false">SUM(E76:P76)</f>
        <v>4256.42018518037</v>
      </c>
      <c r="D76" s="66" t="n">
        <f aca="false">SUM(Q76:AB76)</f>
        <v>4578.90044080406</v>
      </c>
      <c r="E76" s="72" t="n">
        <f aca="false">E74+E75</f>
        <v>262.88</v>
      </c>
      <c r="F76" s="72" t="n">
        <f aca="false">F74+F75</f>
        <v>366.952</v>
      </c>
      <c r="G76" s="72" t="n">
        <f aca="false">G74+G75</f>
        <v>400.06</v>
      </c>
      <c r="H76" s="72" t="n">
        <f aca="false">H74+H75</f>
        <v>421.737</v>
      </c>
      <c r="I76" s="72" t="n">
        <f aca="false">I74+I75</f>
        <v>358.317</v>
      </c>
      <c r="J76" s="72" t="n">
        <f aca="false">J74+J75</f>
        <v>464.793</v>
      </c>
      <c r="K76" s="72" t="n">
        <f aca="false">K74+K75</f>
        <v>282.6</v>
      </c>
      <c r="L76" s="72" t="n">
        <f aca="false">L74+L75</f>
        <v>214.47</v>
      </c>
      <c r="M76" s="72" t="n">
        <f aca="false">M74+M75</f>
        <v>402.353290892423</v>
      </c>
      <c r="N76" s="72" t="n">
        <f aca="false">N74+N75</f>
        <v>332.701132587465</v>
      </c>
      <c r="O76" s="72" t="n">
        <f aca="false">O74+O75</f>
        <v>334.887897135781</v>
      </c>
      <c r="P76" s="72" t="n">
        <f aca="false">P74+P75</f>
        <v>414.668864564701</v>
      </c>
      <c r="Q76" s="72" t="n">
        <f aca="false">Q74+Q75</f>
        <v>403.407628036618</v>
      </c>
      <c r="R76" s="72" t="n">
        <f aca="false">R74+R75</f>
        <v>428.608673258962</v>
      </c>
      <c r="S76" s="72" t="n">
        <f aca="false">S74+S75</f>
        <v>408.488326973055</v>
      </c>
      <c r="T76" s="72" t="n">
        <f aca="false">T74+T75</f>
        <v>416.641659105564</v>
      </c>
      <c r="U76" s="72" t="n">
        <f aca="false">U74+U75</f>
        <v>305.879412115761</v>
      </c>
      <c r="V76" s="72" t="n">
        <f aca="false">V74+V75</f>
        <v>400.964235910061</v>
      </c>
      <c r="W76" s="72" t="n">
        <f aca="false">W74+W75</f>
        <v>381.777129000294</v>
      </c>
      <c r="X76" s="72" t="n">
        <f aca="false">X74+X75</f>
        <v>327.779266115816</v>
      </c>
      <c r="Y76" s="72" t="n">
        <f aca="false">Y74+Y75</f>
        <v>386.455258432981</v>
      </c>
      <c r="Z76" s="72" t="n">
        <f aca="false">Z74+Z75</f>
        <v>352.058572860794</v>
      </c>
      <c r="AA76" s="72" t="n">
        <f aca="false">AA74+AA75</f>
        <v>368.245195738989</v>
      </c>
      <c r="AB76" s="72" t="n">
        <f aca="false">AB74+AB75</f>
        <v>398.595083255168</v>
      </c>
    </row>
    <row r="77" customFormat="false" ht="15" hidden="false" customHeight="false" outlineLevel="0" collapsed="false">
      <c r="A77" s="29" t="s">
        <v>1020</v>
      </c>
      <c r="B77" s="60" t="s">
        <v>997</v>
      </c>
      <c r="C77" s="66" t="n">
        <f aca="false">SUM(E77:P77)</f>
        <v>4022.090849852</v>
      </c>
      <c r="D77" s="66" t="n">
        <f aca="false">SUM(Q77:AB77)</f>
        <v>4578.90044080406</v>
      </c>
      <c r="E77" s="67" t="n">
        <f aca="false">IF(E$5="A",Inputs_Actuals!E150,MIN(E76,E73*Assumptions!$C$83))</f>
        <v>262.8</v>
      </c>
      <c r="F77" s="67" t="n">
        <f aca="false">IF(F$5="A",Inputs_Actuals!F150,MIN(F76,F73*Assumptions!$C$83))</f>
        <v>356.8</v>
      </c>
      <c r="G77" s="67" t="n">
        <f aca="false">IF(G$5="A",Inputs_Actuals!G150,MIN(G76,G73*Assumptions!$C$83))</f>
        <v>396.6</v>
      </c>
      <c r="H77" s="67" t="n">
        <f aca="false">IF(H$5="A",Inputs_Actuals!H150,MIN(H76,H73*Assumptions!$C$83))</f>
        <v>358.6</v>
      </c>
      <c r="I77" s="67" t="n">
        <f aca="false">IF(I$5="A",Inputs_Actuals!I150,MIN(I76,I73*Assumptions!$C$83))</f>
        <v>305.8</v>
      </c>
      <c r="J77" s="67" t="n">
        <f aca="false">IF(J$5="A",Inputs_Actuals!J150,MIN(J76,J73*Assumptions!$C$83))</f>
        <v>385.4</v>
      </c>
      <c r="K77" s="67" t="n">
        <f aca="false">IF(K$5="A",Inputs_Actuals!K150,MIN(K76,K73*Assumptions!$C$83))</f>
        <v>282.6</v>
      </c>
      <c r="L77" s="67" t="n">
        <f aca="false">IF(L$5="A",Inputs_Actuals!L150,MIN(L76,L73*Assumptions!$C$83))</f>
        <v>214.4</v>
      </c>
      <c r="M77" s="67" t="n">
        <f aca="false">IF(M$5="A",Inputs_Actuals!M150,MIN(M76,M73*Assumptions!$C$83))</f>
        <v>402.353290892423</v>
      </c>
      <c r="N77" s="67" t="n">
        <f aca="false">IF(N$5="A",Inputs_Actuals!N150,MIN(N76,N73*Assumptions!$C$83))</f>
        <v>332.701132587465</v>
      </c>
      <c r="O77" s="67" t="n">
        <f aca="false">IF(O$5="A",Inputs_Actuals!O150,MIN(O76,O73*Assumptions!$C$83))</f>
        <v>334.887897135781</v>
      </c>
      <c r="P77" s="67" t="n">
        <f aca="false">IF(P$5="A",Inputs_Actuals!P150,MIN(P76,P73*Assumptions!$C$83))</f>
        <v>389.148529236328</v>
      </c>
      <c r="Q77" s="67" t="n">
        <f aca="false">IF(Q$5="A",Inputs_Actuals!Q150,MIN(Q76,Q73*Assumptions!$C$83))</f>
        <v>403.407628036618</v>
      </c>
      <c r="R77" s="67" t="n">
        <f aca="false">IF(R$5="A",Inputs_Actuals!R150,MIN(R76,R73*Assumptions!$C$83))</f>
        <v>428.608673258962</v>
      </c>
      <c r="S77" s="67" t="n">
        <f aca="false">IF(S$5="A",Inputs_Actuals!S150,MIN(S76,S73*Assumptions!$C$83))</f>
        <v>408.488326973055</v>
      </c>
      <c r="T77" s="67" t="n">
        <f aca="false">IF(T$5="A",Inputs_Actuals!T150,MIN(T76,T73*Assumptions!$C$83))</f>
        <v>416.641659105564</v>
      </c>
      <c r="U77" s="67" t="n">
        <f aca="false">IF(U$5="A",Inputs_Actuals!U150,MIN(U76,U73*Assumptions!$C$83))</f>
        <v>305.879412115761</v>
      </c>
      <c r="V77" s="67" t="n">
        <f aca="false">IF(V$5="A",Inputs_Actuals!V150,MIN(V76,V73*Assumptions!$C$83))</f>
        <v>400.964235910061</v>
      </c>
      <c r="W77" s="67" t="n">
        <f aca="false">IF(W$5="A",Inputs_Actuals!W150,MIN(W76,W73*Assumptions!$C$83))</f>
        <v>381.777129000294</v>
      </c>
      <c r="X77" s="67" t="n">
        <f aca="false">IF(X$5="A",Inputs_Actuals!X150,MIN(X76,X73*Assumptions!$C$83))</f>
        <v>327.779266115816</v>
      </c>
      <c r="Y77" s="67" t="n">
        <f aca="false">IF(Y$5="A",Inputs_Actuals!Y150,MIN(Y76,Y73*Assumptions!$C$83))</f>
        <v>386.455258432981</v>
      </c>
      <c r="Z77" s="67" t="n">
        <f aca="false">IF(Z$5="A",Inputs_Actuals!Z150,MIN(Z76,Z73*Assumptions!$C$83))</f>
        <v>352.058572860794</v>
      </c>
      <c r="AA77" s="67" t="n">
        <f aca="false">IF(AA$5="A",Inputs_Actuals!AA150,MIN(AA76,AA73*Assumptions!$C$83))</f>
        <v>368.245195738989</v>
      </c>
      <c r="AB77" s="67" t="n">
        <f aca="false">IF(AB$5="A",Inputs_Actuals!AB150,MIN(AB76,AB73*Assumptions!$C$83))</f>
        <v>398.595083255168</v>
      </c>
    </row>
    <row r="78" customFormat="false" ht="15" hidden="false" customHeight="false" outlineLevel="0" collapsed="false">
      <c r="A78" s="29" t="s">
        <v>1021</v>
      </c>
      <c r="B78" s="60" t="s">
        <v>999</v>
      </c>
      <c r="C78" s="66" t="n">
        <f aca="false">SUM(E78:P78)</f>
        <v>234.329335328373</v>
      </c>
      <c r="D78" s="66" t="n">
        <f aca="false">SUM(Q78:AB78)</f>
        <v>0</v>
      </c>
      <c r="E78" s="67" t="n">
        <f aca="false">IF(E$5="A",Inputs_Actuals!E151,E76-E77)</f>
        <v>0.08</v>
      </c>
      <c r="F78" s="67" t="n">
        <f aca="false">IF(F$5="A",Inputs_Actuals!F151,F76-F77)</f>
        <v>10.152</v>
      </c>
      <c r="G78" s="67" t="n">
        <f aca="false">IF(G$5="A",Inputs_Actuals!G151,G76-G77)</f>
        <v>3.46</v>
      </c>
      <c r="H78" s="67" t="n">
        <f aca="false">IF(H$5="A",Inputs_Actuals!H151,H76-H77)</f>
        <v>63.137</v>
      </c>
      <c r="I78" s="67" t="n">
        <f aca="false">IF(I$5="A",Inputs_Actuals!I151,I76-I77)</f>
        <v>52.517</v>
      </c>
      <c r="J78" s="67" t="n">
        <f aca="false">IF(J$5="A",Inputs_Actuals!J151,J76-J77)</f>
        <v>79.393</v>
      </c>
      <c r="K78" s="67" t="n">
        <f aca="false">IF(K$5="A",Inputs_Actuals!K151,K76-K77)</f>
        <v>0</v>
      </c>
      <c r="L78" s="67" t="n">
        <f aca="false">IF(L$5="A",Inputs_Actuals!L151,L76-L77)</f>
        <v>0.07</v>
      </c>
      <c r="M78" s="67" t="n">
        <f aca="false">IF(M$5="A",Inputs_Actuals!M151,M76-M77)</f>
        <v>0</v>
      </c>
      <c r="N78" s="67" t="n">
        <f aca="false">IF(N$5="A",Inputs_Actuals!N151,N76-N77)</f>
        <v>0</v>
      </c>
      <c r="O78" s="67" t="n">
        <f aca="false">IF(O$5="A",Inputs_Actuals!O151,O76-O77)</f>
        <v>0</v>
      </c>
      <c r="P78" s="67" t="n">
        <f aca="false">IF(P$5="A",Inputs_Actuals!P151,P76-P77)</f>
        <v>25.520335328373</v>
      </c>
      <c r="Q78" s="67" t="n">
        <f aca="false">IF(Q$5="A",Inputs_Actuals!Q151,Q76-Q77)</f>
        <v>0</v>
      </c>
      <c r="R78" s="67" t="n">
        <f aca="false">IF(R$5="A",Inputs_Actuals!R151,R76-R77)</f>
        <v>0</v>
      </c>
      <c r="S78" s="67" t="n">
        <f aca="false">IF(S$5="A",Inputs_Actuals!S151,S76-S77)</f>
        <v>0</v>
      </c>
      <c r="T78" s="67" t="n">
        <f aca="false">IF(T$5="A",Inputs_Actuals!T151,T76-T77)</f>
        <v>0</v>
      </c>
      <c r="U78" s="67" t="n">
        <f aca="false">IF(U$5="A",Inputs_Actuals!U151,U76-U77)</f>
        <v>0</v>
      </c>
      <c r="V78" s="67" t="n">
        <f aca="false">IF(V$5="A",Inputs_Actuals!V151,V76-V77)</f>
        <v>0</v>
      </c>
      <c r="W78" s="67" t="n">
        <f aca="false">IF(W$5="A",Inputs_Actuals!W151,W76-W77)</f>
        <v>0</v>
      </c>
      <c r="X78" s="67" t="n">
        <f aca="false">IF(X$5="A",Inputs_Actuals!X151,X76-X77)</f>
        <v>0</v>
      </c>
      <c r="Y78" s="67" t="n">
        <f aca="false">IF(Y$5="A",Inputs_Actuals!Y151,Y76-Y77)</f>
        <v>0</v>
      </c>
      <c r="Z78" s="67" t="n">
        <f aca="false">IF(Z$5="A",Inputs_Actuals!Z151,Z76-Z77)</f>
        <v>0</v>
      </c>
      <c r="AA78" s="67" t="n">
        <f aca="false">IF(AA$5="A",Inputs_Actuals!AA151,AA76-AA77)</f>
        <v>0</v>
      </c>
      <c r="AB78" s="67" t="n">
        <f aca="false">IF(AB$5="A",Inputs_Actuals!AB151,AB76-AB77)</f>
        <v>0</v>
      </c>
    </row>
    <row r="79" customFormat="false" ht="15" hidden="false" customHeight="false" outlineLevel="0" collapsed="false">
      <c r="A79" s="29" t="s">
        <v>1022</v>
      </c>
      <c r="B79" s="60" t="s">
        <v>1001</v>
      </c>
      <c r="C79" s="63" t="n">
        <f aca="false">IF(C73=0,0,C77/C73)</f>
        <v>0.805915536604949</v>
      </c>
      <c r="D79" s="63" t="n">
        <f aca="false">IF(D73=0,0,D77/D73)</f>
        <v>0.702601400329129</v>
      </c>
      <c r="E79" s="64" t="n">
        <f aca="false">IF(E73=0,0,E77/E73)</f>
        <v>0.644117647058824</v>
      </c>
      <c r="F79" s="64" t="n">
        <f aca="false">IF(F73=0,0,F77/F73)</f>
        <v>0.901010101010101</v>
      </c>
      <c r="G79" s="64" t="n">
        <f aca="false">IF(G73=0,0,G77/G73)</f>
        <v>0.883689839572193</v>
      </c>
      <c r="H79" s="64" t="n">
        <f aca="false">IF(H73=0,0,H77/H73)</f>
        <v>0.905555555555556</v>
      </c>
      <c r="I79" s="64" t="n">
        <f aca="false">IF(I73=0,0,I77/I73)</f>
        <v>0.903664302600473</v>
      </c>
      <c r="J79" s="64" t="n">
        <f aca="false">IF(J73=0,0,J77/J73)</f>
        <v>0.88720073664825</v>
      </c>
      <c r="K79" s="64" t="n">
        <f aca="false">IF(K73=0,0,K77/K73)</f>
        <v>0.603846153846154</v>
      </c>
      <c r="L79" s="64" t="n">
        <f aca="false">IF(L73=0,0,L77/L73)</f>
        <v>0.587719298245614</v>
      </c>
      <c r="M79" s="64" t="n">
        <f aca="false">IF(M73=0,0,M77/M73)</f>
        <v>0.888844612835891</v>
      </c>
      <c r="N79" s="64" t="n">
        <f aca="false">IF(N73=0,0,N77/N73)</f>
        <v>0.772593421686568</v>
      </c>
      <c r="O79" s="64" t="n">
        <f aca="false">IF(O73=0,0,O77/O73)</f>
        <v>0.796169451198115</v>
      </c>
      <c r="P79" s="64" t="n">
        <f aca="false">IF(P73=0,0,P77/P73)</f>
        <v>0.9</v>
      </c>
      <c r="Q79" s="64" t="n">
        <f aca="false">IF(Q73=0,0,Q77/Q73)</f>
        <v>0.809937489352882</v>
      </c>
      <c r="R79" s="64" t="n">
        <f aca="false">IF(R73=0,0,R77/R73)</f>
        <v>0.83705459170988</v>
      </c>
      <c r="S79" s="64" t="n">
        <f aca="false">IF(S73=0,0,S77/S73)</f>
        <v>0.746055518219783</v>
      </c>
      <c r="T79" s="64" t="n">
        <f aca="false">IF(T73=0,0,T77/T73)</f>
        <v>0.730346206976735</v>
      </c>
      <c r="U79" s="64" t="n">
        <f aca="false">IF(U73=0,0,U77/U73)</f>
        <v>0.703424235793014</v>
      </c>
      <c r="V79" s="64" t="n">
        <f aca="false">IF(V73=0,0,V77/V73)</f>
        <v>0.680651006517871</v>
      </c>
      <c r="W79" s="64" t="n">
        <f aca="false">IF(W73=0,0,W77/W73)</f>
        <v>0.669074199944429</v>
      </c>
      <c r="X79" s="64" t="n">
        <f aca="false">IF(X73=0,0,X77/X73)</f>
        <v>0.656</v>
      </c>
      <c r="Y79" s="64" t="n">
        <f aca="false">IF(Y73=0,0,Y77/Y73)</f>
        <v>0.656</v>
      </c>
      <c r="Z79" s="64" t="n">
        <f aca="false">IF(Z73=0,0,Z77/Z73)</f>
        <v>0.656</v>
      </c>
      <c r="AA79" s="64" t="n">
        <f aca="false">IF(AA73=0,0,AA77/AA73)</f>
        <v>0.656</v>
      </c>
      <c r="AB79" s="64" t="n">
        <f aca="false">IF(AB73=0,0,AB77/AB73)</f>
        <v>0.656</v>
      </c>
    </row>
    <row r="80" customFormat="false" ht="15" hidden="false" customHeight="false" outlineLevel="0" collapsed="false">
      <c r="A80" s="29" t="s">
        <v>1023</v>
      </c>
      <c r="B80" s="60" t="s">
        <v>989</v>
      </c>
      <c r="C80" s="66" t="n">
        <f aca="false">SUM(E80:P80)</f>
        <v>4722.71015158203</v>
      </c>
      <c r="D80" s="66" t="n">
        <f aca="false">SUM(Q80:AB80)</f>
        <v>5464.93259017231</v>
      </c>
      <c r="E80" s="67" t="n">
        <f aca="false">(People!E76)*Assumptions!E$200</f>
        <v>272</v>
      </c>
      <c r="F80" s="67" t="n">
        <f aca="false">(People!F76)*Assumptions!F$200</f>
        <v>264</v>
      </c>
      <c r="G80" s="67" t="n">
        <f aca="false">(People!G76)*Assumptions!G$200</f>
        <v>448.8</v>
      </c>
      <c r="H80" s="67" t="n">
        <f aca="false">(People!H76)*Assumptions!H$200</f>
        <v>396</v>
      </c>
      <c r="I80" s="67" t="n">
        <f aca="false">(People!I76)*Assumptions!I$200</f>
        <v>338.4</v>
      </c>
      <c r="J80" s="67" t="n">
        <f aca="false">(People!J76)*Assumptions!J$200</f>
        <v>434.4</v>
      </c>
      <c r="K80" s="67" t="n">
        <f aca="false">(People!K76)*Assumptions!K$200</f>
        <v>468</v>
      </c>
      <c r="L80" s="67" t="n">
        <f aca="false">(People!L76)*Assumptions!L$200</f>
        <v>364.8</v>
      </c>
      <c r="M80" s="67" t="n">
        <f aca="false">(People!M76)*Assumptions!M$200</f>
        <v>452.67</v>
      </c>
      <c r="N80" s="67" t="n">
        <f aca="false">(People!N76)*Assumptions!N$200</f>
        <v>430.629</v>
      </c>
      <c r="O80" s="67" t="n">
        <f aca="false">(People!O76)*Assumptions!O$200</f>
        <v>420.623896875</v>
      </c>
      <c r="P80" s="67" t="n">
        <f aca="false">(People!P76)*Assumptions!P$200</f>
        <v>432.387254707031</v>
      </c>
      <c r="Q80" s="67" t="n">
        <f aca="false">(People!Q76)*Assumptions!Q$200</f>
        <v>370.072546757813</v>
      </c>
      <c r="R80" s="67" t="n">
        <f aca="false">(People!R76)*Assumptions!R$200</f>
        <v>381.693870858444</v>
      </c>
      <c r="S80" s="67" t="n">
        <f aca="false">(People!S76)*Assumptions!S$200</f>
        <v>409.448610980317</v>
      </c>
      <c r="T80" s="67" t="n">
        <f aca="false">(People!T76)*Assumptions!T$200</f>
        <v>427.952363254042</v>
      </c>
      <c r="U80" s="67" t="n">
        <f aca="false">(People!U76)*Assumptions!U$200</f>
        <v>326.168565146986</v>
      </c>
      <c r="V80" s="67" t="n">
        <f aca="false">(People!V76)*Assumptions!V$200</f>
        <v>441.831281836483</v>
      </c>
      <c r="W80" s="67" t="n">
        <f aca="false">(People!W76)*Assumptions!W$200</f>
        <v>427.951802601571</v>
      </c>
      <c r="X80" s="67" t="n">
        <f aca="false">(People!X76)*Assumptions!X$200</f>
        <v>374.746990036625</v>
      </c>
      <c r="Y80" s="67" t="n">
        <f aca="false">(People!Y76)*Assumptions!Y$200</f>
        <v>594.631325873506</v>
      </c>
      <c r="Z80" s="67" t="n">
        <f aca="false">(People!Z76)*Assumptions!Z$200</f>
        <v>539.96602411628</v>
      </c>
      <c r="AA80" s="67" t="n">
        <f aca="false">(People!AA76)*Assumptions!AA$200</f>
        <v>562.994798156417</v>
      </c>
      <c r="AB80" s="67" t="n">
        <f aca="false">(People!AB76)*Assumptions!AB$200</f>
        <v>607.474410553826</v>
      </c>
    </row>
    <row r="81" customFormat="false" ht="15" hidden="false" customHeight="false" outlineLevel="0" collapsed="false">
      <c r="A81" s="29" t="s">
        <v>1024</v>
      </c>
      <c r="B81" s="60" t="s">
        <v>991</v>
      </c>
      <c r="C81" s="66" t="n">
        <f aca="false">SUM(E81:P81)</f>
        <v>4193.96015936359</v>
      </c>
      <c r="D81" s="66" t="n">
        <f aca="false">SUM(Q81:AB81)</f>
        <v>1701.60134063641</v>
      </c>
      <c r="E81" s="67" t="n">
        <f aca="false">IF(E$5="A",Inputs_Actuals!E152+Inputs_Actuals!E153,SUMPRODUCT((Engagement_Register!$C$7:$C$39="FIN")*Engagement_Register!$AC$7:$AC$39*Engagements!$E$9:$E$41))</f>
        <v>197.768</v>
      </c>
      <c r="F81" s="67" t="n">
        <f aca="false">IF(F$5="A",Inputs_Actuals!F152+Inputs_Actuals!F153,SUMPRODUCT((Engagement_Register!$C$7:$C$39="FIN")*Engagement_Register!$AC$7:$AC$39*Engagements!$F$9:$F$41))</f>
        <v>315.248</v>
      </c>
      <c r="G81" s="67" t="n">
        <f aca="false">IF(G$5="A",Inputs_Actuals!G152+Inputs_Actuals!G153,SUMPRODUCT((Engagement_Register!$C$7:$C$39="FIN")*Engagement_Register!$AC$7:$AC$39*Engagements!$G$9:$G$41))</f>
        <v>347.416</v>
      </c>
      <c r="H81" s="67" t="n">
        <f aca="false">IF(H$5="A",Inputs_Actuals!H152+Inputs_Actuals!H153,SUMPRODUCT((Engagement_Register!$C$7:$C$39="FIN")*Engagement_Register!$AC$7:$AC$39*Engagements!$H$9:$H$41))</f>
        <v>373.55</v>
      </c>
      <c r="I81" s="67" t="n">
        <f aca="false">IF(I$5="A",Inputs_Actuals!I152+Inputs_Actuals!I153,SUMPRODUCT((Engagement_Register!$C$7:$C$39="FIN")*Engagement_Register!$AC$7:$AC$39*Engagements!$I$9:$I$41))</f>
        <v>319.006</v>
      </c>
      <c r="J81" s="67" t="n">
        <f aca="false">IF(J$5="A",Inputs_Actuals!J152+Inputs_Actuals!J153,SUMPRODUCT((Engagement_Register!$C$7:$C$39="FIN")*Engagement_Register!$AC$7:$AC$39*Engagements!$J$9:$J$41))</f>
        <v>416.094</v>
      </c>
      <c r="K81" s="67" t="n">
        <f aca="false">IF(K$5="A",Inputs_Actuals!K152+Inputs_Actuals!K153,SUMPRODUCT((Engagement_Register!$C$7:$C$39="FIN")*Engagement_Register!$AC$7:$AC$39*Engagements!$K$9:$K$41))</f>
        <v>322.384</v>
      </c>
      <c r="L81" s="67" t="n">
        <f aca="false">IF(L$5="A",Inputs_Actuals!L152+Inputs_Actuals!L153,SUMPRODUCT((Engagement_Register!$C$7:$C$39="FIN")*Engagement_Register!$AC$7:$AC$39*Engagements!$L$9:$L$41))</f>
        <v>244.756</v>
      </c>
      <c r="M81" s="67" t="n">
        <f aca="false">IF(M$5="A",Inputs_Actuals!M152+Inputs_Actuals!M153,SUMPRODUCT((Engagement_Register!$C$7:$C$39="FIN")*Engagement_Register!$AC$7:$AC$39*Engagements!$M$9:$M$41))</f>
        <v>460.195947088245</v>
      </c>
      <c r="N81" s="67" t="n">
        <f aca="false">IF(N$5="A",Inputs_Actuals!N152+Inputs_Actuals!N153,SUMPRODUCT((Engagement_Register!$C$7:$C$39="FIN")*Engagement_Register!$AC$7:$AC$39*Engagements!$N$9:$N$41))</f>
        <v>383.110395100717</v>
      </c>
      <c r="O81" s="67" t="n">
        <f aca="false">IF(O$5="A",Inputs_Actuals!O152+Inputs_Actuals!O153,SUMPRODUCT((Engagement_Register!$C$7:$C$39="FIN")*Engagement_Register!$AC$7:$AC$39*Engagements!$O$9:$O$41))</f>
        <v>339.458725736316</v>
      </c>
      <c r="P81" s="67" t="n">
        <f aca="false">IF(P$5="A",Inputs_Actuals!P152+Inputs_Actuals!P153,SUMPRODUCT((Engagement_Register!$C$7:$C$39="FIN")*Engagement_Register!$AC$7:$AC$39*Engagements!$P$9:$P$41))</f>
        <v>474.973091438317</v>
      </c>
      <c r="Q81" s="67" t="n">
        <f aca="false">IF(Q$5="A",Inputs_Actuals!Q152+Inputs_Actuals!Q153,SUMPRODUCT((Engagement_Register!$C$7:$C$39="FIN")*Engagement_Register!$AC$7:$AC$39*Engagements!$Q$9:$Q$41))</f>
        <v>439.285158607333</v>
      </c>
      <c r="R81" s="67" t="n">
        <f aca="false">IF(R$5="A",Inputs_Actuals!R152+Inputs_Actuals!R153,SUMPRODUCT((Engagement_Register!$C$7:$C$39="FIN")*Engagement_Register!$AC$7:$AC$39*Engagements!$R$9:$R$41))</f>
        <v>491.321979296571</v>
      </c>
      <c r="S81" s="67" t="n">
        <f aca="false">IF(S$5="A",Inputs_Actuals!S152+Inputs_Actuals!S153,SUMPRODUCT((Engagement_Register!$C$7:$C$39="FIN")*Engagement_Register!$AC$7:$AC$39*Engagements!$S$9:$S$41))</f>
        <v>281.506095768586</v>
      </c>
      <c r="T81" s="67" t="n">
        <f aca="false">IF(T$5="A",Inputs_Actuals!T152+Inputs_Actuals!T153,SUMPRODUCT((Engagement_Register!$C$7:$C$39="FIN")*Engagement_Register!$AC$7:$AC$39*Engagements!$T$9:$T$41))</f>
        <v>244.192539479495</v>
      </c>
      <c r="U81" s="67" t="n">
        <f aca="false">IF(U$5="A",Inputs_Actuals!U152+Inputs_Actuals!U153,SUMPRODUCT((Engagement_Register!$C$7:$C$39="FIN")*Engagement_Register!$AC$7:$AC$39*Engagements!$U$9:$U$41))</f>
        <v>118.733404782652</v>
      </c>
      <c r="V81" s="67" t="n">
        <f aca="false">IF(V$5="A",Inputs_Actuals!V152+Inputs_Actuals!V153,SUMPRODUCT((Engagement_Register!$C$7:$C$39="FIN")*Engagement_Register!$AC$7:$AC$39*Engagements!$V$9:$V$41))</f>
        <v>83.6094687362526</v>
      </c>
      <c r="W81" s="67" t="n">
        <f aca="false">IF(W$5="A",Inputs_Actuals!W152+Inputs_Actuals!W153,SUMPRODUCT((Engagement_Register!$C$7:$C$39="FIN")*Engagement_Register!$AC$7:$AC$39*Engagements!$W$9:$W$41))</f>
        <v>42.9526939655172</v>
      </c>
      <c r="X81" s="67" t="n">
        <f aca="false">IF(X$5="A",Inputs_Actuals!X152+Inputs_Actuals!X153,SUMPRODUCT((Engagement_Register!$C$7:$C$39="FIN")*Engagement_Register!$AC$7:$AC$39*Engagements!$X$9:$X$41))</f>
        <v>0</v>
      </c>
      <c r="Y81" s="67" t="n">
        <f aca="false">IF(Y$5="A",Inputs_Actuals!Y152+Inputs_Actuals!Y153,SUMPRODUCT((Engagement_Register!$C$7:$C$39="FIN")*Engagement_Register!$AC$7:$AC$39*Engagements!$Y$9:$Y$41))</f>
        <v>0</v>
      </c>
      <c r="Z81" s="67" t="n">
        <f aca="false">IF(Z$5="A",Inputs_Actuals!Z152+Inputs_Actuals!Z153,SUMPRODUCT((Engagement_Register!$C$7:$C$39="FIN")*Engagement_Register!$AC$7:$AC$39*Engagements!$Z$9:$Z$41))</f>
        <v>0</v>
      </c>
      <c r="AA81" s="67" t="n">
        <f aca="false">IF(AA$5="A",Inputs_Actuals!AA152+Inputs_Actuals!AA153,SUMPRODUCT((Engagement_Register!$C$7:$C$39="FIN")*Engagement_Register!$AC$7:$AC$39*Engagements!$AA$9:$AA$41))</f>
        <v>0</v>
      </c>
      <c r="AB81" s="67" t="n">
        <f aca="false">IF(AB$5="A",Inputs_Actuals!AB152+Inputs_Actuals!AB153,SUMPRODUCT((Engagement_Register!$C$7:$C$39="FIN")*Engagement_Register!$AC$7:$AC$39*Engagements!$AB$9:$AB$41))</f>
        <v>0</v>
      </c>
    </row>
    <row r="82" customFormat="false" ht="15" hidden="false" customHeight="false" outlineLevel="0" collapsed="false">
      <c r="A82" s="29" t="s">
        <v>1025</v>
      </c>
      <c r="B82" s="60" t="s">
        <v>993</v>
      </c>
      <c r="C82" s="66" t="n">
        <f aca="false">SUM(E82:P82)</f>
        <v>4.36229576094756</v>
      </c>
      <c r="D82" s="66" t="n">
        <f aca="false">SUM(Q82:AB82)</f>
        <v>2475.04164701077</v>
      </c>
      <c r="E82" s="72" t="n">
        <f aca="false">0</f>
        <v>0</v>
      </c>
      <c r="F82" s="72" t="n">
        <f aca="false">0</f>
        <v>0</v>
      </c>
      <c r="G82" s="72" t="n">
        <f aca="false">0</f>
        <v>0</v>
      </c>
      <c r="H82" s="72" t="n">
        <f aca="false">0</f>
        <v>0</v>
      </c>
      <c r="I82" s="72" t="n">
        <f aca="false">0</f>
        <v>0</v>
      </c>
      <c r="J82" s="72" t="n">
        <f aca="false">0</f>
        <v>0</v>
      </c>
      <c r="K82" s="72" t="n">
        <f aca="false">0</f>
        <v>0</v>
      </c>
      <c r="L82" s="72" t="n">
        <f aca="false">0</f>
        <v>0</v>
      </c>
      <c r="M82" s="67" t="n">
        <f aca="false">IF(Assumptions!M$186&gt;=Assumptions!$C$152,MAX(0,Assumptions!$F$68*M80-M81)*Assumptions!$F$168,0)</f>
        <v>0</v>
      </c>
      <c r="N82" s="67" t="n">
        <f aca="false">IF(Assumptions!N$186&gt;=Assumptions!$C$152,MAX(0,Assumptions!$F$68*N80-N81)*Assumptions!$F$168,0)</f>
        <v>0</v>
      </c>
      <c r="O82" s="67" t="n">
        <f aca="false">IF(Assumptions!O$186&gt;=Assumptions!$C$152,MAX(0,Assumptions!$F$68*O80-O81)*Assumptions!$F$168,0)</f>
        <v>4.36229576094756</v>
      </c>
      <c r="P82" s="67" t="n">
        <f aca="false">IF(Assumptions!P$186&gt;=Assumptions!$C$152,MAX(0,Assumptions!$F$68*P80-P81)*Assumptions!$F$168,0)</f>
        <v>0</v>
      </c>
      <c r="Q82" s="67" t="n">
        <f aca="false">IF(Assumptions!Q$186&gt;=Assumptions!$C$152,MAX(0,Assumptions!$F$68*Q80-Q81)*Assumptions!$F$168,0)</f>
        <v>0</v>
      </c>
      <c r="R82" s="67" t="n">
        <f aca="false">IF(Assumptions!R$186&gt;=Assumptions!$C$152,MAX(0,Assumptions!$F$68*R80-R81)*Assumptions!$F$168,0)</f>
        <v>0</v>
      </c>
      <c r="S82" s="67" t="n">
        <f aca="false">IF(Assumptions!S$186&gt;=Assumptions!$C$152,MAX(0,Assumptions!$F$68*S80-S81)*Assumptions!$F$168,0)</f>
        <v>43.3934121882193</v>
      </c>
      <c r="T82" s="67" t="n">
        <f aca="false">IF(Assumptions!T$186&gt;=Assumptions!$C$152,MAX(0,Assumptions!$F$68*T80-T81)*Assumptions!$F$168,0)</f>
        <v>85.3827187110559</v>
      </c>
      <c r="U82" s="67" t="n">
        <f aca="false">IF(Assumptions!U$186&gt;=Assumptions!$C$152,MAX(0,Assumptions!$F$68*U80-U81)*Assumptions!$F$168,0)</f>
        <v>118.979854910301</v>
      </c>
      <c r="V82" s="67" t="n">
        <f aca="false">IF(Assumptions!V$186&gt;=Assumptions!$C$152,MAX(0,Assumptions!$F$68*V80-V81)*Assumptions!$F$168,0)</f>
        <v>222.953745895731</v>
      </c>
      <c r="W82" s="67" t="n">
        <f aca="false">IF(Assumptions!W$186&gt;=Assumptions!$C$152,MAX(0,Assumptions!$F$68*W80-W81)*Assumptions!$F$168,0)</f>
        <v>246.374227334217</v>
      </c>
      <c r="X82" s="67" t="n">
        <f aca="false">IF(Assumptions!X$186&gt;=Assumptions!$C$152,MAX(0,Assumptions!$F$68*X80-X81)*Assumptions!$F$168,0)</f>
        <v>245.834025464026</v>
      </c>
      <c r="Y82" s="67" t="n">
        <f aca="false">IF(Assumptions!Y$186&gt;=Assumptions!$C$152,MAX(0,Assumptions!$F$68*Y80-Y81)*Assumptions!$F$168,0)</f>
        <v>390.07814977302</v>
      </c>
      <c r="Z82" s="67" t="n">
        <f aca="false">IF(Assumptions!Z$186&gt;=Assumptions!$C$152,MAX(0,Assumptions!$F$68*Z80-Z81)*Assumptions!$F$168,0)</f>
        <v>354.21771182028</v>
      </c>
      <c r="AA82" s="67" t="n">
        <f aca="false">IF(Assumptions!AA$186&gt;=Assumptions!$C$152,MAX(0,Assumptions!$F$68*AA80-AA81)*Assumptions!$F$168,0)</f>
        <v>369.324587590609</v>
      </c>
      <c r="AB82" s="67" t="n">
        <f aca="false">IF(Assumptions!AB$186&gt;=Assumptions!$C$152,MAX(0,Assumptions!$F$68*AB80-AB81)*Assumptions!$F$168,0)</f>
        <v>398.50321332331</v>
      </c>
    </row>
    <row r="83" customFormat="false" ht="15" hidden="false" customHeight="false" outlineLevel="0" collapsed="false">
      <c r="A83" s="29" t="s">
        <v>1026</v>
      </c>
      <c r="B83" s="60" t="s">
        <v>995</v>
      </c>
      <c r="C83" s="66" t="n">
        <f aca="false">SUM(E83:P83)</f>
        <v>4198.32245512454</v>
      </c>
      <c r="D83" s="66" t="n">
        <f aca="false">SUM(Q83:AB83)</f>
        <v>4176.64298764718</v>
      </c>
      <c r="E83" s="72" t="n">
        <f aca="false">E81+E82</f>
        <v>197.768</v>
      </c>
      <c r="F83" s="72" t="n">
        <f aca="false">F81+F82</f>
        <v>315.248</v>
      </c>
      <c r="G83" s="72" t="n">
        <f aca="false">G81+G82</f>
        <v>347.416</v>
      </c>
      <c r="H83" s="72" t="n">
        <f aca="false">H81+H82</f>
        <v>373.55</v>
      </c>
      <c r="I83" s="72" t="n">
        <f aca="false">I81+I82</f>
        <v>319.006</v>
      </c>
      <c r="J83" s="72" t="n">
        <f aca="false">J81+J82</f>
        <v>416.094</v>
      </c>
      <c r="K83" s="72" t="n">
        <f aca="false">K81+K82</f>
        <v>322.384</v>
      </c>
      <c r="L83" s="72" t="n">
        <f aca="false">L81+L82</f>
        <v>244.756</v>
      </c>
      <c r="M83" s="72" t="n">
        <f aca="false">M81+M82</f>
        <v>460.195947088245</v>
      </c>
      <c r="N83" s="72" t="n">
        <f aca="false">N81+N82</f>
        <v>383.110395100717</v>
      </c>
      <c r="O83" s="72" t="n">
        <f aca="false">O81+O82</f>
        <v>343.821021497263</v>
      </c>
      <c r="P83" s="72" t="n">
        <f aca="false">P81+P82</f>
        <v>474.973091438317</v>
      </c>
      <c r="Q83" s="72" t="n">
        <f aca="false">Q81+Q82</f>
        <v>439.285158607333</v>
      </c>
      <c r="R83" s="72" t="n">
        <f aca="false">R81+R82</f>
        <v>491.321979296571</v>
      </c>
      <c r="S83" s="72" t="n">
        <f aca="false">S81+S82</f>
        <v>324.899507956805</v>
      </c>
      <c r="T83" s="72" t="n">
        <f aca="false">T81+T82</f>
        <v>329.575258190551</v>
      </c>
      <c r="U83" s="72" t="n">
        <f aca="false">U81+U82</f>
        <v>237.713259692953</v>
      </c>
      <c r="V83" s="72" t="n">
        <f aca="false">V81+V82</f>
        <v>306.563214631983</v>
      </c>
      <c r="W83" s="72" t="n">
        <f aca="false">W81+W82</f>
        <v>289.326921299734</v>
      </c>
      <c r="X83" s="72" t="n">
        <f aca="false">X81+X82</f>
        <v>245.834025464026</v>
      </c>
      <c r="Y83" s="72" t="n">
        <f aca="false">Y81+Y82</f>
        <v>390.07814977302</v>
      </c>
      <c r="Z83" s="72" t="n">
        <f aca="false">Z81+Z82</f>
        <v>354.21771182028</v>
      </c>
      <c r="AA83" s="72" t="n">
        <f aca="false">AA81+AA82</f>
        <v>369.324587590609</v>
      </c>
      <c r="AB83" s="72" t="n">
        <f aca="false">AB81+AB82</f>
        <v>398.50321332331</v>
      </c>
    </row>
    <row r="84" customFormat="false" ht="15" hidden="false" customHeight="false" outlineLevel="0" collapsed="false">
      <c r="A84" s="29" t="s">
        <v>1027</v>
      </c>
      <c r="B84" s="60" t="s">
        <v>997</v>
      </c>
      <c r="C84" s="66" t="n">
        <f aca="false">SUM(E84:P84)</f>
        <v>3915.48294583431</v>
      </c>
      <c r="D84" s="66" t="n">
        <f aca="false">SUM(Q84:AB84)</f>
        <v>3922.6256255979</v>
      </c>
      <c r="E84" s="67" t="n">
        <f aca="false">IF(E$5="A",Inputs_Actuals!E152,MIN(E83,E80*Assumptions!$C$83))</f>
        <v>197.7</v>
      </c>
      <c r="F84" s="67" t="n">
        <f aca="false">IF(F$5="A",Inputs_Actuals!F152,MIN(F83,F80*Assumptions!$C$83))</f>
        <v>236.1</v>
      </c>
      <c r="G84" s="67" t="n">
        <f aca="false">IF(G$5="A",Inputs_Actuals!G152,MIN(G83,G80*Assumptions!$C$83))</f>
        <v>347.4</v>
      </c>
      <c r="H84" s="67" t="n">
        <f aca="false">IF(H$5="A",Inputs_Actuals!H152,MIN(H83,H80*Assumptions!$C$83))</f>
        <v>352</v>
      </c>
      <c r="I84" s="67" t="n">
        <f aca="false">IF(I$5="A",Inputs_Actuals!I152,MIN(I83,I80*Assumptions!$C$83))</f>
        <v>307.2</v>
      </c>
      <c r="J84" s="67" t="n">
        <f aca="false">IF(J$5="A",Inputs_Actuals!J152,MIN(J83,J80*Assumptions!$C$83))</f>
        <v>384.6</v>
      </c>
      <c r="K84" s="67" t="n">
        <f aca="false">IF(K$5="A",Inputs_Actuals!K152,MIN(K83,K80*Assumptions!$C$83))</f>
        <v>322.3</v>
      </c>
      <c r="L84" s="67" t="n">
        <f aca="false">IF(L$5="A",Inputs_Actuals!L152,MIN(L83,L80*Assumptions!$C$83))</f>
        <v>244.7</v>
      </c>
      <c r="M84" s="67" t="n">
        <f aca="false">IF(M$5="A",Inputs_Actuals!M152,MIN(M83,M80*Assumptions!$C$83))</f>
        <v>407.403</v>
      </c>
      <c r="N84" s="67" t="n">
        <f aca="false">IF(N$5="A",Inputs_Actuals!N152,MIN(N83,N80*Assumptions!$C$83))</f>
        <v>383.110395100717</v>
      </c>
      <c r="O84" s="67" t="n">
        <f aca="false">IF(O$5="A",Inputs_Actuals!O152,MIN(O83,O80*Assumptions!$C$83))</f>
        <v>343.821021497263</v>
      </c>
      <c r="P84" s="67" t="n">
        <f aca="false">IF(P$5="A",Inputs_Actuals!P152,MIN(P83,P80*Assumptions!$C$83))</f>
        <v>389.148529236328</v>
      </c>
      <c r="Q84" s="67" t="n">
        <f aca="false">IF(Q$5="A",Inputs_Actuals!Q152,MIN(Q83,Q80*Assumptions!$C$83))</f>
        <v>333.065292082031</v>
      </c>
      <c r="R84" s="67" t="n">
        <f aca="false">IF(R$5="A",Inputs_Actuals!R152,MIN(R83,R80*Assumptions!$C$83))</f>
        <v>343.5244837726</v>
      </c>
      <c r="S84" s="67" t="n">
        <f aca="false">IF(S$5="A",Inputs_Actuals!S152,MIN(S83,S80*Assumptions!$C$83))</f>
        <v>324.899507956805</v>
      </c>
      <c r="T84" s="67" t="n">
        <f aca="false">IF(T$5="A",Inputs_Actuals!T152,MIN(T83,T80*Assumptions!$C$83))</f>
        <v>329.575258190551</v>
      </c>
      <c r="U84" s="67" t="n">
        <f aca="false">IF(U$5="A",Inputs_Actuals!U152,MIN(U83,U80*Assumptions!$C$83))</f>
        <v>237.713259692953</v>
      </c>
      <c r="V84" s="67" t="n">
        <f aca="false">IF(V$5="A",Inputs_Actuals!V152,MIN(V83,V80*Assumptions!$C$83))</f>
        <v>306.563214631983</v>
      </c>
      <c r="W84" s="67" t="n">
        <f aca="false">IF(W$5="A",Inputs_Actuals!W152,MIN(W83,W80*Assumptions!$C$83))</f>
        <v>289.326921299734</v>
      </c>
      <c r="X84" s="67" t="n">
        <f aca="false">IF(X$5="A",Inputs_Actuals!X152,MIN(X83,X80*Assumptions!$C$83))</f>
        <v>245.834025464026</v>
      </c>
      <c r="Y84" s="67" t="n">
        <f aca="false">IF(Y$5="A",Inputs_Actuals!Y152,MIN(Y83,Y80*Assumptions!$C$83))</f>
        <v>390.07814977302</v>
      </c>
      <c r="Z84" s="67" t="n">
        <f aca="false">IF(Z$5="A",Inputs_Actuals!Z152,MIN(Z83,Z80*Assumptions!$C$83))</f>
        <v>354.21771182028</v>
      </c>
      <c r="AA84" s="67" t="n">
        <f aca="false">IF(AA$5="A",Inputs_Actuals!AA152,MIN(AA83,AA80*Assumptions!$C$83))</f>
        <v>369.324587590609</v>
      </c>
      <c r="AB84" s="67" t="n">
        <f aca="false">IF(AB$5="A",Inputs_Actuals!AB152,MIN(AB83,AB80*Assumptions!$C$83))</f>
        <v>398.50321332331</v>
      </c>
    </row>
    <row r="85" customFormat="false" ht="15" hidden="false" customHeight="false" outlineLevel="0" collapsed="false">
      <c r="A85" s="29" t="s">
        <v>1028</v>
      </c>
      <c r="B85" s="60" t="s">
        <v>999</v>
      </c>
      <c r="C85" s="66" t="n">
        <f aca="false">SUM(E85:P85)</f>
        <v>282.839509290233</v>
      </c>
      <c r="D85" s="66" t="n">
        <f aca="false">SUM(Q85:AB85)</f>
        <v>254.017362049273</v>
      </c>
      <c r="E85" s="67" t="n">
        <f aca="false">IF(E$5="A",Inputs_Actuals!E153,E83-E84)</f>
        <v>0.068</v>
      </c>
      <c r="F85" s="67" t="n">
        <f aca="false">IF(F$5="A",Inputs_Actuals!F153,F83-F84)</f>
        <v>79.148</v>
      </c>
      <c r="G85" s="67" t="n">
        <f aca="false">IF(G$5="A",Inputs_Actuals!G153,G83-G84)</f>
        <v>0.016</v>
      </c>
      <c r="H85" s="67" t="n">
        <f aca="false">IF(H$5="A",Inputs_Actuals!H153,H83-H84)</f>
        <v>21.55</v>
      </c>
      <c r="I85" s="67" t="n">
        <f aca="false">IF(I$5="A",Inputs_Actuals!I153,I83-I84)</f>
        <v>11.806</v>
      </c>
      <c r="J85" s="67" t="n">
        <f aca="false">IF(J$5="A",Inputs_Actuals!J153,J83-J84)</f>
        <v>31.494</v>
      </c>
      <c r="K85" s="67" t="n">
        <f aca="false">IF(K$5="A",Inputs_Actuals!K153,K83-K84)</f>
        <v>0.084</v>
      </c>
      <c r="L85" s="67" t="n">
        <f aca="false">IF(L$5="A",Inputs_Actuals!L153,L83-L84)</f>
        <v>0.056</v>
      </c>
      <c r="M85" s="67" t="n">
        <f aca="false">IF(M$5="A",Inputs_Actuals!M153,M83-M84)</f>
        <v>52.7929470882445</v>
      </c>
      <c r="N85" s="67" t="n">
        <f aca="false">IF(N$5="A",Inputs_Actuals!N153,N83-N84)</f>
        <v>0</v>
      </c>
      <c r="O85" s="67" t="n">
        <f aca="false">IF(O$5="A",Inputs_Actuals!O153,O83-O84)</f>
        <v>0</v>
      </c>
      <c r="P85" s="67" t="n">
        <f aca="false">IF(P$5="A",Inputs_Actuals!P153,P83-P84)</f>
        <v>85.8245622019885</v>
      </c>
      <c r="Q85" s="67" t="n">
        <f aca="false">IF(Q$5="A",Inputs_Actuals!Q153,Q83-Q84)</f>
        <v>106.219866525302</v>
      </c>
      <c r="R85" s="67" t="n">
        <f aca="false">IF(R$5="A",Inputs_Actuals!R153,R83-R84)</f>
        <v>147.797495523971</v>
      </c>
      <c r="S85" s="67" t="n">
        <f aca="false">IF(S$5="A",Inputs_Actuals!S153,S83-S84)</f>
        <v>0</v>
      </c>
      <c r="T85" s="67" t="n">
        <f aca="false">IF(T$5="A",Inputs_Actuals!T153,T83-T84)</f>
        <v>0</v>
      </c>
      <c r="U85" s="67" t="n">
        <f aca="false">IF(U$5="A",Inputs_Actuals!U153,U83-U84)</f>
        <v>0</v>
      </c>
      <c r="V85" s="67" t="n">
        <f aca="false">IF(V$5="A",Inputs_Actuals!V153,V83-V84)</f>
        <v>0</v>
      </c>
      <c r="W85" s="67" t="n">
        <f aca="false">IF(W$5="A",Inputs_Actuals!W153,W83-W84)</f>
        <v>0</v>
      </c>
      <c r="X85" s="67" t="n">
        <f aca="false">IF(X$5="A",Inputs_Actuals!X153,X83-X84)</f>
        <v>0</v>
      </c>
      <c r="Y85" s="67" t="n">
        <f aca="false">IF(Y$5="A",Inputs_Actuals!Y153,Y83-Y84)</f>
        <v>0</v>
      </c>
      <c r="Z85" s="67" t="n">
        <f aca="false">IF(Z$5="A",Inputs_Actuals!Z153,Z83-Z84)</f>
        <v>0</v>
      </c>
      <c r="AA85" s="67" t="n">
        <f aca="false">IF(AA$5="A",Inputs_Actuals!AA153,AA83-AA84)</f>
        <v>0</v>
      </c>
      <c r="AB85" s="67" t="n">
        <f aca="false">IF(AB$5="A",Inputs_Actuals!AB153,AB83-AB84)</f>
        <v>0</v>
      </c>
    </row>
    <row r="86" customFormat="false" ht="15" hidden="false" customHeight="false" outlineLevel="0" collapsed="false">
      <c r="A86" s="29" t="s">
        <v>1029</v>
      </c>
      <c r="B86" s="60" t="s">
        <v>1001</v>
      </c>
      <c r="C86" s="63" t="n">
        <f aca="false">IF(C80=0,0,C84/C80)</f>
        <v>0.829075429183958</v>
      </c>
      <c r="D86" s="63" t="n">
        <f aca="false">IF(D80=0,0,D84/D80)</f>
        <v>0.717781154821934</v>
      </c>
      <c r="E86" s="64" t="n">
        <f aca="false">IF(E80=0,0,E84/E80)</f>
        <v>0.726838235294118</v>
      </c>
      <c r="F86" s="64" t="n">
        <f aca="false">IF(F80=0,0,F84/F80)</f>
        <v>0.894318181818182</v>
      </c>
      <c r="G86" s="64" t="n">
        <f aca="false">IF(G80=0,0,G84/G80)</f>
        <v>0.774064171122995</v>
      </c>
      <c r="H86" s="64" t="n">
        <f aca="false">IF(H80=0,0,H84/H80)</f>
        <v>0.888888888888889</v>
      </c>
      <c r="I86" s="64" t="n">
        <f aca="false">IF(I80=0,0,I84/I80)</f>
        <v>0.907801418439716</v>
      </c>
      <c r="J86" s="64" t="n">
        <f aca="false">IF(J80=0,0,J84/J80)</f>
        <v>0.885359116022099</v>
      </c>
      <c r="K86" s="64" t="n">
        <f aca="false">IF(K80=0,0,K84/K80)</f>
        <v>0.688675213675214</v>
      </c>
      <c r="L86" s="64" t="n">
        <f aca="false">IF(L80=0,0,L84/L80)</f>
        <v>0.67077850877193</v>
      </c>
      <c r="M86" s="64" t="n">
        <f aca="false">IF(M80=0,0,M84/M80)</f>
        <v>0.9</v>
      </c>
      <c r="N86" s="64" t="n">
        <f aca="false">IF(N80=0,0,N84/N80)</f>
        <v>0.889653031033017</v>
      </c>
      <c r="O86" s="64" t="n">
        <f aca="false">IF(O80=0,0,O84/O80)</f>
        <v>0.817407246834193</v>
      </c>
      <c r="P86" s="64" t="n">
        <f aca="false">IF(P80=0,0,P84/P80)</f>
        <v>0.9</v>
      </c>
      <c r="Q86" s="64" t="n">
        <f aca="false">IF(Q80=0,0,Q84/Q80)</f>
        <v>0.9</v>
      </c>
      <c r="R86" s="64" t="n">
        <f aca="false">IF(R80=0,0,R84/R80)</f>
        <v>0.9</v>
      </c>
      <c r="S86" s="64" t="n">
        <f aca="false">IF(S80=0,0,S84/S80)</f>
        <v>0.793504970450183</v>
      </c>
      <c r="T86" s="64" t="n">
        <f aca="false">IF(T80=0,0,T84/T80)</f>
        <v>0.770121365108357</v>
      </c>
      <c r="U86" s="64" t="n">
        <f aca="false">IF(U80=0,0,U84/U80)</f>
        <v>0.728804934300855</v>
      </c>
      <c r="V86" s="64" t="n">
        <f aca="false">IF(V80=0,0,V84/V80)</f>
        <v>0.693846785491841</v>
      </c>
      <c r="W86" s="64" t="n">
        <f aca="false">IF(W80=0,0,W84/W80)</f>
        <v>0.67607361282481</v>
      </c>
      <c r="X86" s="64" t="n">
        <f aca="false">IF(X80=0,0,X84/X80)</f>
        <v>0.656</v>
      </c>
      <c r="Y86" s="64" t="n">
        <f aca="false">IF(Y80=0,0,Y84/Y80)</f>
        <v>0.656</v>
      </c>
      <c r="Z86" s="64" t="n">
        <f aca="false">IF(Z80=0,0,Z84/Z80)</f>
        <v>0.656</v>
      </c>
      <c r="AA86" s="64" t="n">
        <f aca="false">IF(AA80=0,0,AA84/AA80)</f>
        <v>0.656</v>
      </c>
      <c r="AB86" s="64" t="n">
        <f aca="false">IF(AB80=0,0,AB84/AB80)</f>
        <v>0.656</v>
      </c>
    </row>
    <row r="87" customFormat="false" ht="15" hidden="false" customHeight="false" outlineLevel="0" collapsed="false">
      <c r="A87" s="29" t="s">
        <v>1040</v>
      </c>
      <c r="B87" s="60"/>
      <c r="C87" s="66" t="n">
        <f aca="false">SUM(E87:P87)</f>
        <v>16269.8842230548</v>
      </c>
      <c r="D87" s="66" t="n">
        <f aca="false">SUM(Q87:AB87)</f>
        <v>18630.8035436584</v>
      </c>
      <c r="E87" s="72" t="n">
        <f aca="false">E52+E59+E66+E73+E80</f>
        <v>1088</v>
      </c>
      <c r="F87" s="72" t="n">
        <f aca="false">F52+F59+F66+F73+F80</f>
        <v>1188</v>
      </c>
      <c r="G87" s="72" t="n">
        <f aca="false">G52+G59+G66+G73+G80</f>
        <v>1496</v>
      </c>
      <c r="H87" s="72" t="n">
        <f aca="false">H52+H59+H66+H73+H80</f>
        <v>1320</v>
      </c>
      <c r="I87" s="72" t="n">
        <f aca="false">I52+I59+I66+I73+I80</f>
        <v>1128</v>
      </c>
      <c r="J87" s="72" t="n">
        <f aca="false">J52+J59+J66+J73+J80</f>
        <v>1448</v>
      </c>
      <c r="K87" s="72" t="n">
        <f aca="false">K52+K59+K66+K73+K80</f>
        <v>1560</v>
      </c>
      <c r="L87" s="72" t="n">
        <f aca="false">L52+L59+L66+L73+L80</f>
        <v>1216</v>
      </c>
      <c r="M87" s="72" t="n">
        <f aca="false">M52+M59+M66+M73+M80</f>
        <v>1513.35666666667</v>
      </c>
      <c r="N87" s="72" t="n">
        <f aca="false">N52+N59+N66+N73+N80</f>
        <v>1443.94766666667</v>
      </c>
      <c r="O87" s="72" t="n">
        <f aca="false">O52+O59+O66+O73+O80</f>
        <v>1414.61586469907</v>
      </c>
      <c r="P87" s="72" t="n">
        <f aca="false">P52+P59+P66+P73+P80</f>
        <v>1453.96402502242</v>
      </c>
      <c r="Q87" s="72" t="n">
        <f aca="false">Q52+Q59+Q66+Q73+Q80</f>
        <v>1372.30352579684</v>
      </c>
      <c r="R87" s="72" t="n">
        <f aca="false">R52+R59+R66+R73+R80</f>
        <v>1413.67062679773</v>
      </c>
      <c r="S87" s="72" t="n">
        <f aca="false">S52+S59+S66+S73+S80</f>
        <v>1514.72451034487</v>
      </c>
      <c r="T87" s="72" t="n">
        <f aca="false">T52+T59+T66+T73+T80</f>
        <v>1581.37727837591</v>
      </c>
      <c r="U87" s="72" t="n">
        <f aca="false">U52+U59+U66+U73+U80</f>
        <v>1205.3169546568</v>
      </c>
      <c r="V87" s="72" t="n">
        <f aca="false">V52+V59+V66+V73+V80</f>
        <v>1632.7805131562</v>
      </c>
      <c r="W87" s="72" t="n">
        <f aca="false">W52+W59+W66+W73+W80</f>
        <v>1581.51019648264</v>
      </c>
      <c r="X87" s="72" t="n">
        <f aca="false">X52+X59+X66+X73+X80</f>
        <v>1384.88855443517</v>
      </c>
      <c r="Y87" s="72" t="n">
        <f aca="false">Y52+Y59+Y66+Y73+Y80</f>
        <v>1785.59987330244</v>
      </c>
      <c r="Z87" s="72" t="n">
        <f aca="false">Z52+Z59+Z66+Z73+Z80</f>
        <v>1624.93191545124</v>
      </c>
      <c r="AA87" s="72" t="n">
        <f aca="false">AA52+AA59+AA66+AA73+AA80</f>
        <v>1697.84421201395</v>
      </c>
      <c r="AB87" s="72" t="n">
        <f aca="false">AB52+AB59+AB66+AB73+AB80</f>
        <v>1835.85538284457</v>
      </c>
    </row>
    <row r="88" customFormat="false" ht="15" hidden="false" customHeight="false" outlineLevel="0" collapsed="false">
      <c r="A88" s="29" t="s">
        <v>1041</v>
      </c>
      <c r="B88" s="60"/>
      <c r="C88" s="66" t="n">
        <f aca="false">SUM(E88:P88)</f>
        <v>126.529117658991</v>
      </c>
      <c r="D88" s="66" t="n">
        <f aca="false">SUM(Q88:AB88)</f>
        <v>7895.18432960066</v>
      </c>
      <c r="E88" s="72" t="n">
        <f aca="false">E54+E61+E68+E75+E82</f>
        <v>0</v>
      </c>
      <c r="F88" s="72" t="n">
        <f aca="false">F54+F61+F68+F75+F82</f>
        <v>0</v>
      </c>
      <c r="G88" s="72" t="n">
        <f aca="false">G54+G61+G68+G75+G82</f>
        <v>0</v>
      </c>
      <c r="H88" s="72" t="n">
        <f aca="false">H54+H61+H68+H75+H82</f>
        <v>0</v>
      </c>
      <c r="I88" s="72" t="n">
        <f aca="false">I54+I61+I68+I75+I82</f>
        <v>0</v>
      </c>
      <c r="J88" s="72" t="n">
        <f aca="false">J54+J61+J68+J75+J82</f>
        <v>0</v>
      </c>
      <c r="K88" s="72" t="n">
        <f aca="false">K54+K61+K68+K75+K82</f>
        <v>0</v>
      </c>
      <c r="L88" s="72" t="n">
        <f aca="false">L54+L61+L68+L75+L82</f>
        <v>0</v>
      </c>
      <c r="M88" s="72" t="n">
        <f aca="false">M54+M61+M68+M75+M82</f>
        <v>0</v>
      </c>
      <c r="N88" s="72" t="n">
        <f aca="false">N54+N61+N68+N75+N82</f>
        <v>0</v>
      </c>
      <c r="O88" s="72" t="n">
        <f aca="false">O54+O61+O68+O75+O82</f>
        <v>123.206937614774</v>
      </c>
      <c r="P88" s="72" t="n">
        <f aca="false">P54+P61+P68+P75+P82</f>
        <v>3.32218004421711</v>
      </c>
      <c r="Q88" s="72" t="n">
        <f aca="false">Q54+Q61+Q68+Q75+Q82</f>
        <v>20.0474412191511</v>
      </c>
      <c r="R88" s="72" t="n">
        <f aca="false">R54+R61+R68+R75+R82</f>
        <v>0</v>
      </c>
      <c r="S88" s="72" t="n">
        <f aca="false">S54+S61+S68+S75+S82</f>
        <v>301.49376294614</v>
      </c>
      <c r="T88" s="72" t="n">
        <f aca="false">T54+T61+T68+T75+T82</f>
        <v>431.667801859827</v>
      </c>
      <c r="U88" s="72" t="n">
        <f aca="false">U54+U61+U68+U75+U82</f>
        <v>470.888893364299</v>
      </c>
      <c r="V88" s="72" t="n">
        <f aca="false">V54+V61+V68+V75+V82</f>
        <v>800.48629759059</v>
      </c>
      <c r="W88" s="72" t="n">
        <f aca="false">W54+W61+W68+W75+W82</f>
        <v>855.417837739056</v>
      </c>
      <c r="X88" s="72" t="n">
        <f aca="false">X54+X61+X68+X75+X82</f>
        <v>828.252120966313</v>
      </c>
      <c r="Y88" s="72" t="n">
        <f aca="false">Y54+Y61+Y68+Y75+Y82</f>
        <v>1076.75573163759</v>
      </c>
      <c r="Z88" s="72" t="n">
        <f aca="false">Z54+Z61+Z68+Z75+Z82</f>
        <v>979.777249453529</v>
      </c>
      <c r="AA88" s="72" t="n">
        <f aca="false">AA54+AA61+AA68+AA75+AA82</f>
        <v>1023.64550509875</v>
      </c>
      <c r="AB88" s="72" t="n">
        <f aca="false">AB54+AB61+AB68+AB75+AB82</f>
        <v>1106.75168772541</v>
      </c>
    </row>
    <row r="89" customFormat="false" ht="15" hidden="false" customHeight="false" outlineLevel="0" collapsed="false">
      <c r="A89" s="29" t="s">
        <v>1042</v>
      </c>
      <c r="B89" s="60"/>
      <c r="C89" s="66" t="n">
        <f aca="false">SUM(E89:P89)</f>
        <v>12347.3099197425</v>
      </c>
      <c r="D89" s="66" t="n">
        <f aca="false">SUM(Q89:AB89)</f>
        <v>12415.1185275171</v>
      </c>
      <c r="E89" s="72" t="n">
        <f aca="false">E55+E62+E69+E76+E83</f>
        <v>695.7</v>
      </c>
      <c r="F89" s="72" t="n">
        <f aca="false">F55+F62+F69+F76+F83</f>
        <v>1008.8</v>
      </c>
      <c r="G89" s="72" t="n">
        <f aca="false">G55+G62+G69+G76+G83</f>
        <v>1103.4</v>
      </c>
      <c r="H89" s="72" t="n">
        <f aca="false">H55+H62+H69+H76+H83</f>
        <v>1180.5</v>
      </c>
      <c r="I89" s="72" t="n">
        <f aca="false">I55+I62+I69+I76+I83</f>
        <v>1004.8</v>
      </c>
      <c r="J89" s="72" t="n">
        <f aca="false">J55+J62+J69+J76+J83</f>
        <v>1305.1</v>
      </c>
      <c r="K89" s="72" t="n">
        <f aca="false">K55+K62+K69+K76+K83</f>
        <v>867.2</v>
      </c>
      <c r="L89" s="72" t="n">
        <f aca="false">L55+L62+L69+L76+L83</f>
        <v>657.8</v>
      </c>
      <c r="M89" s="72" t="n">
        <f aca="false">M55+M62+M69+M76+M83</f>
        <v>1230.39512391643</v>
      </c>
      <c r="N89" s="72" t="n">
        <f aca="false">N55+N62+N69+N76+N83</f>
        <v>1008.18525026505</v>
      </c>
      <c r="O89" s="72" t="n">
        <f aca="false">O55+O62+O69+O76+O83</f>
        <v>1016.51937376297</v>
      </c>
      <c r="P89" s="72" t="n">
        <f aca="false">P55+P62+P69+P76+P83</f>
        <v>1268.91017179809</v>
      </c>
      <c r="Q89" s="72" t="n">
        <f aca="false">Q55+Q62+Q69+Q76+Q83</f>
        <v>1189.45892346059</v>
      </c>
      <c r="R89" s="72" t="n">
        <f aca="false">R55+R62+R69+R76+R83</f>
        <v>1306.76916864769</v>
      </c>
      <c r="S89" s="72" t="n">
        <f aca="false">S55+S62+S69+S76+S83</f>
        <v>1057.1207127</v>
      </c>
      <c r="T89" s="72" t="n">
        <f aca="false">T55+T62+T69+T76+T83</f>
        <v>1074.2797478585</v>
      </c>
      <c r="U89" s="72" t="n">
        <f aca="false">U55+U62+U69+U76+U83</f>
        <v>783.345221739699</v>
      </c>
      <c r="V89" s="72" t="n">
        <f aca="false">V55+V62+V69+V76+V83</f>
        <v>1020.51121531757</v>
      </c>
      <c r="W89" s="72" t="n">
        <f aca="false">W55+W62+W69+W76+W83</f>
        <v>968.45124291147</v>
      </c>
      <c r="X89" s="72" t="n">
        <f aca="false">X55+X62+X69+X76+X83</f>
        <v>828.252120966313</v>
      </c>
      <c r="Y89" s="72" t="n">
        <f aca="false">Y55+Y62+Y69+Y76+Y83</f>
        <v>1076.75573163759</v>
      </c>
      <c r="Z89" s="72" t="n">
        <f aca="false">Z55+Z62+Z69+Z76+Z83</f>
        <v>979.777249453529</v>
      </c>
      <c r="AA89" s="72" t="n">
        <f aca="false">AA55+AA62+AA69+AA76+AA83</f>
        <v>1023.64550509875</v>
      </c>
      <c r="AB89" s="72" t="n">
        <f aca="false">AB55+AB62+AB69+AB76+AB83</f>
        <v>1106.75168772541</v>
      </c>
    </row>
    <row r="90" customFormat="false" ht="15" hidden="false" customHeight="false" outlineLevel="0" collapsed="false">
      <c r="A90" s="68" t="s">
        <v>1043</v>
      </c>
      <c r="B90" s="69"/>
      <c r="C90" s="113" t="n">
        <f aca="false">SUM(E90:P90)</f>
        <v>11732.2720751239</v>
      </c>
      <c r="D90" s="113" t="n">
        <f aca="false">SUM(Q90:AB90)</f>
        <v>12156.3763185441</v>
      </c>
      <c r="E90" s="113" t="n">
        <f aca="false">E56+E63+E70+E77+E84</f>
        <v>650.3</v>
      </c>
      <c r="F90" s="113" t="n">
        <f aca="false">F56+F63+F70+F77+F84</f>
        <v>919.3</v>
      </c>
      <c r="G90" s="113" t="n">
        <f aca="false">G56+G63+G70+G77+G84</f>
        <v>1099.8</v>
      </c>
      <c r="H90" s="113" t="n">
        <f aca="false">H56+H63+H70+H77+H84</f>
        <v>1075</v>
      </c>
      <c r="I90" s="113" t="n">
        <f aca="false">I56+I63+I70+I77+I84</f>
        <v>930.5</v>
      </c>
      <c r="J90" s="113" t="n">
        <f aca="false">J56+J63+J70+J77+J84</f>
        <v>1173</v>
      </c>
      <c r="K90" s="113" t="n">
        <f aca="false">K56+K63+K70+K77+K84</f>
        <v>866.9</v>
      </c>
      <c r="L90" s="113" t="n">
        <f aca="false">L56+L63+L70+L77+L84</f>
        <v>657.6</v>
      </c>
      <c r="M90" s="113" t="n">
        <f aca="false">M56+M63+M70+M77+M84</f>
        <v>1177.60217682819</v>
      </c>
      <c r="N90" s="113" t="n">
        <f aca="false">N56+N63+N70+N77+N84</f>
        <v>1008.18525026505</v>
      </c>
      <c r="O90" s="113" t="n">
        <f aca="false">O56+O63+O70+O77+O84</f>
        <v>1016.51937376297</v>
      </c>
      <c r="P90" s="113" t="n">
        <f aca="false">P56+P63+P70+P77+P84</f>
        <v>1157.56527426773</v>
      </c>
      <c r="Q90" s="113" t="n">
        <f aca="false">Q56+Q63+Q70+Q77+Q84</f>
        <v>1083.23905693528</v>
      </c>
      <c r="R90" s="113" t="n">
        <f aca="false">R56+R63+R70+R77+R84</f>
        <v>1154.24682620003</v>
      </c>
      <c r="S90" s="113" t="n">
        <f aca="false">S56+S63+S70+S77+S84</f>
        <v>1057.1207127</v>
      </c>
      <c r="T90" s="113" t="n">
        <f aca="false">T56+T63+T70+T77+T84</f>
        <v>1074.2797478585</v>
      </c>
      <c r="U90" s="113" t="n">
        <f aca="false">U56+U63+U70+U77+U84</f>
        <v>783.345221739699</v>
      </c>
      <c r="V90" s="113" t="n">
        <f aca="false">V56+V63+V70+V77+V84</f>
        <v>1020.51121531757</v>
      </c>
      <c r="W90" s="113" t="n">
        <f aca="false">W56+W63+W70+W77+W84</f>
        <v>968.45124291147</v>
      </c>
      <c r="X90" s="113" t="n">
        <f aca="false">X56+X63+X70+X77+X84</f>
        <v>828.252120966313</v>
      </c>
      <c r="Y90" s="113" t="n">
        <f aca="false">Y56+Y63+Y70+Y77+Y84</f>
        <v>1076.75573163759</v>
      </c>
      <c r="Z90" s="113" t="n">
        <f aca="false">Z56+Z63+Z70+Z77+Z84</f>
        <v>979.777249453529</v>
      </c>
      <c r="AA90" s="113" t="n">
        <f aca="false">AA56+AA63+AA70+AA77+AA84</f>
        <v>1023.64550509875</v>
      </c>
      <c r="AB90" s="113" t="n">
        <f aca="false">AB56+AB63+AB70+AB77+AB84</f>
        <v>1106.75168772541</v>
      </c>
    </row>
    <row r="91" customFormat="false" ht="15" hidden="false" customHeight="false" outlineLevel="0" collapsed="false">
      <c r="A91" s="29" t="s">
        <v>1044</v>
      </c>
      <c r="B91" s="60"/>
      <c r="C91" s="66" t="n">
        <f aca="false">SUM(E91:P91)</f>
        <v>615.037844618606</v>
      </c>
      <c r="D91" s="66" t="n">
        <f aca="false">SUM(Q91:AB91)</f>
        <v>258.742208972956</v>
      </c>
      <c r="E91" s="72" t="n">
        <f aca="false">E57+E64+E71+E78+E85</f>
        <v>45.4</v>
      </c>
      <c r="F91" s="72" t="n">
        <f aca="false">F57+F64+F71+F78+F85</f>
        <v>89.5</v>
      </c>
      <c r="G91" s="72" t="n">
        <f aca="false">G57+G64+G71+G78+G85</f>
        <v>3.6</v>
      </c>
      <c r="H91" s="72" t="n">
        <f aca="false">H57+H64+H71+H78+H85</f>
        <v>105.5</v>
      </c>
      <c r="I91" s="72" t="n">
        <f aca="false">I57+I64+I71+I78+I85</f>
        <v>74.3</v>
      </c>
      <c r="J91" s="72" t="n">
        <f aca="false">J57+J64+J71+J78+J85</f>
        <v>132.1</v>
      </c>
      <c r="K91" s="72" t="n">
        <f aca="false">K57+K64+K71+K78+K85</f>
        <v>0.3</v>
      </c>
      <c r="L91" s="72" t="n">
        <f aca="false">L57+L64+L71+L78+L85</f>
        <v>0.2</v>
      </c>
      <c r="M91" s="72" t="n">
        <f aca="false">M57+M64+M71+M78+M85</f>
        <v>52.7929470882445</v>
      </c>
      <c r="N91" s="72" t="n">
        <f aca="false">N57+N64+N71+N78+N85</f>
        <v>0</v>
      </c>
      <c r="O91" s="72" t="n">
        <f aca="false">O57+O64+O71+O78+O85</f>
        <v>0</v>
      </c>
      <c r="P91" s="72" t="n">
        <f aca="false">P57+P64+P71+P78+P85</f>
        <v>111.344897530362</v>
      </c>
      <c r="Q91" s="72" t="n">
        <f aca="false">Q57+Q64+Q71+Q78+Q85</f>
        <v>106.219866525302</v>
      </c>
      <c r="R91" s="72" t="n">
        <f aca="false">R57+R64+R71+R78+R85</f>
        <v>152.522342447654</v>
      </c>
      <c r="S91" s="72" t="n">
        <f aca="false">S57+S64+S71+S78+S85</f>
        <v>0</v>
      </c>
      <c r="T91" s="72" t="n">
        <f aca="false">T57+T64+T71+T78+T85</f>
        <v>0</v>
      </c>
      <c r="U91" s="72" t="n">
        <f aca="false">U57+U64+U71+U78+U85</f>
        <v>0</v>
      </c>
      <c r="V91" s="72" t="n">
        <f aca="false">V57+V64+V71+V78+V85</f>
        <v>0</v>
      </c>
      <c r="W91" s="72" t="n">
        <f aca="false">W57+W64+W71+W78+W85</f>
        <v>0</v>
      </c>
      <c r="X91" s="72" t="n">
        <f aca="false">X57+X64+X71+X78+X85</f>
        <v>0</v>
      </c>
      <c r="Y91" s="72" t="n">
        <f aca="false">Y57+Y64+Y71+Y78+Y85</f>
        <v>0</v>
      </c>
      <c r="Z91" s="72" t="n">
        <f aca="false">Z57+Z64+Z71+Z78+Z85</f>
        <v>0</v>
      </c>
      <c r="AA91" s="72" t="n">
        <f aca="false">AA57+AA64+AA71+AA78+AA85</f>
        <v>0</v>
      </c>
      <c r="AB91" s="72" t="n">
        <f aca="false">AB57+AB64+AB71+AB78+AB85</f>
        <v>0</v>
      </c>
    </row>
    <row r="92" customFormat="false" ht="15" hidden="false" customHeight="false" outlineLevel="0" collapsed="false">
      <c r="A92" s="68" t="s">
        <v>1045</v>
      </c>
      <c r="B92" s="69"/>
      <c r="C92" s="75" t="n">
        <f aca="false">IF(C87=0,0,C90/C87)</f>
        <v>0.721103599403554</v>
      </c>
      <c r="D92" s="75" t="n">
        <f aca="false">IF(D87=0,0,D90/D87)</f>
        <v>0.652488030913835</v>
      </c>
      <c r="E92" s="75" t="n">
        <f aca="false">IF(E87=0,0,E90/E87)</f>
        <v>0.597702205882353</v>
      </c>
      <c r="F92" s="75" t="n">
        <f aca="false">IF(F87=0,0,F90/F87)</f>
        <v>0.773821548821549</v>
      </c>
      <c r="G92" s="75" t="n">
        <f aca="false">IF(G87=0,0,G90/G87)</f>
        <v>0.735160427807487</v>
      </c>
      <c r="H92" s="75" t="n">
        <f aca="false">IF(H87=0,0,H90/H87)</f>
        <v>0.814393939393939</v>
      </c>
      <c r="I92" s="75" t="n">
        <f aca="false">IF(I87=0,0,I90/I87)</f>
        <v>0.824911347517731</v>
      </c>
      <c r="J92" s="75" t="n">
        <f aca="false">IF(J87=0,0,J90/J87)</f>
        <v>0.810082872928177</v>
      </c>
      <c r="K92" s="75" t="n">
        <f aca="false">IF(K87=0,0,K90/K87)</f>
        <v>0.555705128205128</v>
      </c>
      <c r="L92" s="75" t="n">
        <f aca="false">IF(L87=0,0,L90/L87)</f>
        <v>0.540789473684211</v>
      </c>
      <c r="M92" s="75" t="n">
        <f aca="false">IF(M87=0,0,M90/M87)</f>
        <v>0.778139220427122</v>
      </c>
      <c r="N92" s="75" t="n">
        <f aca="false">IF(N87=0,0,N90/N87)</f>
        <v>0.698214536121262</v>
      </c>
      <c r="O92" s="75" t="n">
        <f aca="false">IF(O87=0,0,O90/O87)</f>
        <v>0.718583326491403</v>
      </c>
      <c r="P92" s="75" t="n">
        <f aca="false">IF(P87=0,0,P90/P87)</f>
        <v>0.796144371075398</v>
      </c>
      <c r="Q92" s="75" t="n">
        <f aca="false">IF(Q87=0,0,Q90/Q87)</f>
        <v>0.789358211629085</v>
      </c>
      <c r="R92" s="75" t="n">
        <f aca="false">IF(R87=0,0,R90/R87)</f>
        <v>0.816489219143398</v>
      </c>
      <c r="S92" s="75" t="n">
        <f aca="false">IF(S87=0,0,S90/S87)</f>
        <v>0.697896353746412</v>
      </c>
      <c r="T92" s="75" t="n">
        <f aca="false">IF(T87=0,0,T90/T87)</f>
        <v>0.67933172086663</v>
      </c>
      <c r="U92" s="75" t="n">
        <f aca="false">IF(U87=0,0,U90/U87)</f>
        <v>0.649908074978291</v>
      </c>
      <c r="V92" s="75" t="n">
        <f aca="false">IF(V87=0,0,V90/V87)</f>
        <v>0.625014328070891</v>
      </c>
      <c r="W92" s="75" t="n">
        <f aca="false">IF(W87=0,0,W90/W87)</f>
        <v>0.612358519765067</v>
      </c>
      <c r="X92" s="75" t="n">
        <f aca="false">IF(X87=0,0,X90/X87)</f>
        <v>0.598064095709215</v>
      </c>
      <c r="Y92" s="75" t="n">
        <f aca="false">IF(Y87=0,0,Y90/Y87)</f>
        <v>0.60302184589997</v>
      </c>
      <c r="Z92" s="75" t="n">
        <f aca="false">IF(Z87=0,0,Z90/Z87)</f>
        <v>0.602965108960549</v>
      </c>
      <c r="AA92" s="75" t="n">
        <f aca="false">IF(AA87=0,0,AA90/AA87)</f>
        <v>0.602908970007631</v>
      </c>
      <c r="AB92" s="75" t="n">
        <f aca="false">IF(AB87=0,0,AB90/AB87)</f>
        <v>0.602853415398414</v>
      </c>
    </row>
    <row r="93" customFormat="false" ht="15" hidden="false" customHeight="false" outlineLevel="0" collapsed="false">
      <c r="A93" s="29" t="s">
        <v>1046</v>
      </c>
      <c r="B93" s="60" t="s">
        <v>1037</v>
      </c>
      <c r="C93" s="61" t="n">
        <f aca="false">SUM(E93:P93)</f>
        <v>69720.7836219769</v>
      </c>
      <c r="D93" s="61" t="n">
        <f aca="false">SUM(Q93:AB93)</f>
        <v>24840.3764332334</v>
      </c>
      <c r="E93" s="62" t="n">
        <f aca="false">E57*Assumptions!$G$64+E64*Assumptions!$G$65+E71*Assumptions!$G$66+E78*Assumptions!$G$67+E85*Assumptions!$G$68</f>
        <v>6810.09</v>
      </c>
      <c r="F93" s="62" t="n">
        <f aca="false">F57*Assumptions!$G$64+F64*Assumptions!$G$65+F71*Assumptions!$G$66+F78*Assumptions!$G$67+F85*Assumptions!$G$68</f>
        <v>8775.5</v>
      </c>
      <c r="G93" s="62" t="n">
        <f aca="false">G57*Assumptions!$G$64+G64*Assumptions!$G$65+G71*Assumptions!$G$66+G78*Assumptions!$G$67+G85*Assumptions!$G$68</f>
        <v>440.58</v>
      </c>
      <c r="H93" s="62" t="n">
        <f aca="false">H57*Assumptions!$G$64+H64*Assumptions!$G$65+H71*Assumptions!$G$66+H78*Assumptions!$G$67+H85*Assumptions!$G$68</f>
        <v>12749.56</v>
      </c>
      <c r="I93" s="62" t="n">
        <f aca="false">I57*Assumptions!$G$64+I64*Assumptions!$G$65+I71*Assumptions!$G$66+I78*Assumptions!$G$67+I85*Assumptions!$G$68</f>
        <v>8928.29</v>
      </c>
      <c r="J93" s="62" t="n">
        <f aca="false">J57*Assumptions!$G$64+J64*Assumptions!$G$65+J71*Assumptions!$G$66+J78*Assumptions!$G$67+J85*Assumptions!$G$68</f>
        <v>15708.86</v>
      </c>
      <c r="K93" s="62" t="n">
        <f aca="false">K57*Assumptions!$G$64+K64*Assumptions!$G$65+K71*Assumptions!$G$66+K78*Assumptions!$G$67+K85*Assumptions!$G$68</f>
        <v>47.62</v>
      </c>
      <c r="L93" s="62" t="n">
        <f aca="false">L57*Assumptions!$G$64+L64*Assumptions!$G$65+L71*Assumptions!$G$66+L78*Assumptions!$G$67+L85*Assumptions!$G$68</f>
        <v>29.18</v>
      </c>
      <c r="M93" s="62" t="n">
        <f aca="false">M57*Assumptions!$G$64+M64*Assumptions!$G$65+M71*Assumptions!$G$66+M78*Assumptions!$G$67+M85*Assumptions!$G$68</f>
        <v>5015.32997338323</v>
      </c>
      <c r="N93" s="62" t="n">
        <f aca="false">N57*Assumptions!$G$64+N64*Assumptions!$G$65+N71*Assumptions!$G$66+N78*Assumptions!$G$67+N85*Assumptions!$G$68</f>
        <v>0</v>
      </c>
      <c r="O93" s="62" t="n">
        <f aca="false">O57*Assumptions!$G$64+O64*Assumptions!$G$65+O71*Assumptions!$G$66+O78*Assumptions!$G$67+O85*Assumptions!$G$68</f>
        <v>0</v>
      </c>
      <c r="P93" s="62" t="n">
        <f aca="false">P57*Assumptions!$G$64+P64*Assumptions!$G$65+P71*Assumptions!$G$66+P78*Assumptions!$G$67+P85*Assumptions!$G$68</f>
        <v>11215.7736485937</v>
      </c>
      <c r="Q93" s="62" t="n">
        <f aca="false">Q57*Assumptions!$G$64+Q64*Assumptions!$G$65+Q71*Assumptions!$G$66+Q78*Assumptions!$G$67+Q85*Assumptions!$G$68</f>
        <v>10090.8873199037</v>
      </c>
      <c r="R93" s="62" t="n">
        <f aca="false">R57*Assumptions!$G$64+R64*Assumptions!$G$65+R71*Assumptions!$G$66+R78*Assumptions!$G$67+R85*Assumptions!$G$68</f>
        <v>14749.4891133297</v>
      </c>
      <c r="S93" s="62" t="n">
        <f aca="false">S57*Assumptions!$G$64+S64*Assumptions!$G$65+S71*Assumptions!$G$66+S78*Assumptions!$G$67+S85*Assumptions!$G$68</f>
        <v>0</v>
      </c>
      <c r="T93" s="62" t="n">
        <f aca="false">T57*Assumptions!$G$64+T64*Assumptions!$G$65+T71*Assumptions!$G$66+T78*Assumptions!$G$67+T85*Assumptions!$G$68</f>
        <v>0</v>
      </c>
      <c r="U93" s="62" t="n">
        <f aca="false">U57*Assumptions!$G$64+U64*Assumptions!$G$65+U71*Assumptions!$G$66+U78*Assumptions!$G$67+U85*Assumptions!$G$68</f>
        <v>0</v>
      </c>
      <c r="V93" s="62" t="n">
        <f aca="false">V57*Assumptions!$G$64+V64*Assumptions!$G$65+V71*Assumptions!$G$66+V78*Assumptions!$G$67+V85*Assumptions!$G$68</f>
        <v>0</v>
      </c>
      <c r="W93" s="62" t="n">
        <f aca="false">W57*Assumptions!$G$64+W64*Assumptions!$G$65+W71*Assumptions!$G$66+W78*Assumptions!$G$67+W85*Assumptions!$G$68</f>
        <v>0</v>
      </c>
      <c r="X93" s="62" t="n">
        <f aca="false">X57*Assumptions!$G$64+X64*Assumptions!$G$65+X71*Assumptions!$G$66+X78*Assumptions!$G$67+X85*Assumptions!$G$68</f>
        <v>0</v>
      </c>
      <c r="Y93" s="62" t="n">
        <f aca="false">Y57*Assumptions!$G$64+Y64*Assumptions!$G$65+Y71*Assumptions!$G$66+Y78*Assumptions!$G$67+Y85*Assumptions!$G$68</f>
        <v>0</v>
      </c>
      <c r="Z93" s="62" t="n">
        <f aca="false">Z57*Assumptions!$G$64+Z64*Assumptions!$G$65+Z71*Assumptions!$G$66+Z78*Assumptions!$G$67+Z85*Assumptions!$G$68</f>
        <v>0</v>
      </c>
      <c r="AA93" s="62" t="n">
        <f aca="false">AA57*Assumptions!$G$64+AA64*Assumptions!$G$65+AA71*Assumptions!$G$66+AA78*Assumptions!$G$67+AA85*Assumptions!$G$68</f>
        <v>0</v>
      </c>
      <c r="AB93" s="62" t="n">
        <f aca="false">AB57*Assumptions!$G$64+AB64*Assumptions!$G$65+AB71*Assumptions!$G$66+AB78*Assumptions!$G$67+AB85*Assumptions!$G$68</f>
        <v>0</v>
      </c>
    </row>
    <row r="94" customFormat="false" ht="15" hidden="false" customHeight="false" outlineLevel="0" collapsed="false">
      <c r="A94" s="23" t="s">
        <v>1047</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row>
    <row r="95" customFormat="false" ht="15" hidden="false" customHeight="false" outlineLevel="0" collapsed="false">
      <c r="A95" s="29" t="s">
        <v>1039</v>
      </c>
      <c r="B95" s="60" t="s">
        <v>989</v>
      </c>
      <c r="C95" s="66" t="n">
        <f aca="false">SUM(E95:P95)</f>
        <v>1680</v>
      </c>
      <c r="D95" s="66" t="n">
        <f aca="false">SUM(Q95:AB95)</f>
        <v>1688</v>
      </c>
      <c r="E95" s="67" t="n">
        <f aca="false">(People!E88)*Assumptions!E$200</f>
        <v>136</v>
      </c>
      <c r="F95" s="67" t="n">
        <f aca="false">(People!F88)*Assumptions!F$200</f>
        <v>132</v>
      </c>
      <c r="G95" s="67" t="n">
        <f aca="false">(People!G88)*Assumptions!G$200</f>
        <v>149.6</v>
      </c>
      <c r="H95" s="67" t="n">
        <f aca="false">(People!H88)*Assumptions!H$200</f>
        <v>132</v>
      </c>
      <c r="I95" s="67" t="n">
        <f aca="false">(People!I88)*Assumptions!I$200</f>
        <v>112.8</v>
      </c>
      <c r="J95" s="67" t="n">
        <f aca="false">(People!J88)*Assumptions!J$200</f>
        <v>144.8</v>
      </c>
      <c r="K95" s="67" t="n">
        <f aca="false">(People!K88)*Assumptions!K$200</f>
        <v>156</v>
      </c>
      <c r="L95" s="67" t="n">
        <f aca="false">(People!L88)*Assumptions!L$200</f>
        <v>121.6</v>
      </c>
      <c r="M95" s="67" t="n">
        <f aca="false">(People!M88)*Assumptions!M$200</f>
        <v>152.8</v>
      </c>
      <c r="N95" s="67" t="n">
        <f aca="false">(People!N88)*Assumptions!N$200</f>
        <v>147.2</v>
      </c>
      <c r="O95" s="67" t="n">
        <f aca="false">(People!O88)*Assumptions!O$200</f>
        <v>145.6</v>
      </c>
      <c r="P95" s="67" t="n">
        <f aca="false">(People!P88)*Assumptions!P$200</f>
        <v>149.6</v>
      </c>
      <c r="Q95" s="67" t="n">
        <f aca="false">(People!Q88)*Assumptions!Q$200</f>
        <v>128</v>
      </c>
      <c r="R95" s="67" t="n">
        <f aca="false">(People!R88)*Assumptions!R$200</f>
        <v>132</v>
      </c>
      <c r="S95" s="67" t="n">
        <f aca="false">(People!S88)*Assumptions!S$200</f>
        <v>141.6</v>
      </c>
      <c r="T95" s="67" t="n">
        <f aca="false">(People!T88)*Assumptions!T$200</f>
        <v>148</v>
      </c>
      <c r="U95" s="67" t="n">
        <f aca="false">(People!U88)*Assumptions!U$200</f>
        <v>112.8</v>
      </c>
      <c r="V95" s="67" t="n">
        <f aca="false">(People!V88)*Assumptions!V$200</f>
        <v>152.8</v>
      </c>
      <c r="W95" s="67" t="n">
        <f aca="false">(People!W88)*Assumptions!W$200</f>
        <v>148</v>
      </c>
      <c r="X95" s="67" t="n">
        <f aca="false">(People!X88)*Assumptions!X$200</f>
        <v>129.6</v>
      </c>
      <c r="Y95" s="67" t="n">
        <f aca="false">(People!Y88)*Assumptions!Y$200</f>
        <v>152.8</v>
      </c>
      <c r="Z95" s="67" t="n">
        <f aca="false">(People!Z88)*Assumptions!Z$200</f>
        <v>139.2</v>
      </c>
      <c r="AA95" s="67" t="n">
        <f aca="false">(People!AA88)*Assumptions!AA$200</f>
        <v>145.6</v>
      </c>
      <c r="AB95" s="67" t="n">
        <f aca="false">(People!AB88)*Assumptions!AB$200</f>
        <v>157.6</v>
      </c>
    </row>
    <row r="96" customFormat="false" ht="15" hidden="false" customHeight="false" outlineLevel="0" collapsed="false">
      <c r="A96" s="29" t="s">
        <v>990</v>
      </c>
      <c r="B96" s="60" t="s">
        <v>991</v>
      </c>
      <c r="C96" s="66" t="n">
        <f aca="false">SUM(E96:P96)</f>
        <v>464.154667809248</v>
      </c>
      <c r="D96" s="66" t="n">
        <f aca="false">SUM(Q96:AB96)</f>
        <v>257.853132190752</v>
      </c>
      <c r="E96" s="67" t="n">
        <f aca="false">IF(E$5="A",Inputs_Actuals!E154+Inputs_Actuals!E155,SUMPRODUCT((Engagement_Register!$C$7:$C$39="DIG")*Engagement_Register!$Y$7:$Y$39*Engagements!$E$9:$E$41))</f>
        <v>31.536</v>
      </c>
      <c r="F96" s="67" t="n">
        <f aca="false">IF(F$5="A",Inputs_Actuals!F154+Inputs_Actuals!F155,SUMPRODUCT((Engagement_Register!$C$7:$C$39="DIG")*Engagement_Register!$Y$7:$Y$39*Engagements!$F$9:$F$41))</f>
        <v>28.636</v>
      </c>
      <c r="G96" s="67" t="n">
        <f aca="false">IF(G$5="A",Inputs_Actuals!G154+Inputs_Actuals!G155,SUMPRODUCT((Engagement_Register!$C$7:$C$39="DIG")*Engagement_Register!$Y$7:$Y$39*Engagements!$G$9:$G$41))</f>
        <v>41.5435</v>
      </c>
      <c r="H96" s="67" t="n">
        <f aca="false">IF(H$5="A",Inputs_Actuals!H154+Inputs_Actuals!H155,SUMPRODUCT((Engagement_Register!$C$7:$C$39="DIG")*Engagement_Register!$Y$7:$Y$39*Engagements!$H$9:$H$41))</f>
        <v>24.2085</v>
      </c>
      <c r="I96" s="67" t="n">
        <f aca="false">IF(I$5="A",Inputs_Actuals!I154+Inputs_Actuals!I155,SUMPRODUCT((Engagement_Register!$C$7:$C$39="DIG")*Engagement_Register!$Y$7:$Y$39*Engagements!$I$9:$I$41))</f>
        <v>24.8505</v>
      </c>
      <c r="J96" s="67" t="n">
        <f aca="false">IF(J$5="A",Inputs_Actuals!J154+Inputs_Actuals!J155,SUMPRODUCT((Engagement_Register!$C$7:$C$39="DIG")*Engagement_Register!$Y$7:$Y$39*Engagements!$J$9:$J$41))</f>
        <v>29.553</v>
      </c>
      <c r="K96" s="67" t="n">
        <f aca="false">IF(K$5="A",Inputs_Actuals!K154+Inputs_Actuals!K155,SUMPRODUCT((Engagement_Register!$C$7:$C$39="DIG")*Engagement_Register!$Y$7:$Y$39*Engagements!$K$9:$K$41))</f>
        <v>46.17</v>
      </c>
      <c r="L96" s="67" t="n">
        <f aca="false">IF(L$5="A",Inputs_Actuals!L154+Inputs_Actuals!L155,SUMPRODUCT((Engagement_Register!$C$7:$C$39="DIG")*Engagement_Register!$Y$7:$Y$39*Engagements!$L$9:$L$41))</f>
        <v>35.1915</v>
      </c>
      <c r="M96" s="67" t="n">
        <f aca="false">IF(M$5="A",Inputs_Actuals!M154+Inputs_Actuals!M155,SUMPRODUCT((Engagement_Register!$C$7:$C$39="DIG")*Engagement_Register!$Y$7:$Y$39*Engagements!$M$9:$M$41))</f>
        <v>56.5341914581059</v>
      </c>
      <c r="N96" s="67" t="n">
        <f aca="false">IF(N$5="A",Inputs_Actuals!N154+Inputs_Actuals!N155,SUMPRODUCT((Engagement_Register!$C$7:$C$39="DIG")*Engagement_Register!$Y$7:$Y$39*Engagements!$N$9:$N$41))</f>
        <v>54.5705880893491</v>
      </c>
      <c r="O96" s="67" t="n">
        <f aca="false">IF(O$5="A",Inputs_Actuals!O154+Inputs_Actuals!O155,SUMPRODUCT((Engagement_Register!$C$7:$C$39="DIG")*Engagement_Register!$Y$7:$Y$39*Engagements!$O$9:$O$41))</f>
        <v>45.0614679231606</v>
      </c>
      <c r="P96" s="67" t="n">
        <f aca="false">IF(P$5="A",Inputs_Actuals!P154+Inputs_Actuals!P155,SUMPRODUCT((Engagement_Register!$C$7:$C$39="DIG")*Engagement_Register!$Y$7:$Y$39*Engagements!$P$9:$P$41))</f>
        <v>46.299420338632</v>
      </c>
      <c r="Q96" s="67" t="n">
        <f aca="false">IF(Q$5="A",Inputs_Actuals!Q154+Inputs_Actuals!Q155,SUMPRODUCT((Engagement_Register!$C$7:$C$39="DIG")*Engagement_Register!$Y$7:$Y$39*Engagements!$Q$9:$Q$41))</f>
        <v>39.6144772950862</v>
      </c>
      <c r="R96" s="67" t="n">
        <f aca="false">IF(R$5="A",Inputs_Actuals!R154+Inputs_Actuals!R155,SUMPRODUCT((Engagement_Register!$C$7:$C$39="DIG")*Engagement_Register!$Y$7:$Y$39*Engagements!$R$9:$R$41))</f>
        <v>33.5810833709787</v>
      </c>
      <c r="S96" s="67" t="n">
        <f aca="false">IF(S$5="A",Inputs_Actuals!S154+Inputs_Actuals!S155,SUMPRODUCT((Engagement_Register!$C$7:$C$39="DIG")*Engagement_Register!$Y$7:$Y$39*Engagements!$S$9:$S$41))</f>
        <v>36.0233439797772</v>
      </c>
      <c r="T96" s="67" t="n">
        <f aca="false">IF(T$5="A",Inputs_Actuals!T154+Inputs_Actuals!T155,SUMPRODUCT((Engagement_Register!$C$7:$C$39="DIG")*Engagement_Register!$Y$7:$Y$39*Engagements!$T$9:$T$41))</f>
        <v>22.5902790687282</v>
      </c>
      <c r="U96" s="67" t="n">
        <f aca="false">IF(U$5="A",Inputs_Actuals!U154+Inputs_Actuals!U155,SUMPRODUCT((Engagement_Register!$C$7:$C$39="DIG")*Engagement_Register!$Y$7:$Y$39*Engagements!$U$9:$U$41))</f>
        <v>17.2174559388685</v>
      </c>
      <c r="V96" s="67" t="n">
        <f aca="false">IF(V$5="A",Inputs_Actuals!V154+Inputs_Actuals!V155,SUMPRODUCT((Engagement_Register!$C$7:$C$39="DIG")*Engagement_Register!$Y$7:$Y$39*Engagements!$V$9:$V$41))</f>
        <v>16.2136194029851</v>
      </c>
      <c r="W96" s="67" t="n">
        <f aca="false">IF(W$5="A",Inputs_Actuals!W154+Inputs_Actuals!W155,SUMPRODUCT((Engagement_Register!$C$7:$C$39="DIG")*Engagement_Register!$Y$7:$Y$39*Engagements!$W$9:$W$41))</f>
        <v>15.7042910447761</v>
      </c>
      <c r="X96" s="67" t="n">
        <f aca="false">IF(X$5="A",Inputs_Actuals!X154+Inputs_Actuals!X155,SUMPRODUCT((Engagement_Register!$C$7:$C$39="DIG")*Engagement_Register!$Y$7:$Y$39*Engagements!$X$9:$X$41))</f>
        <v>13.7518656716418</v>
      </c>
      <c r="Y96" s="67" t="n">
        <f aca="false">IF(Y$5="A",Inputs_Actuals!Y154+Inputs_Actuals!Y155,SUMPRODUCT((Engagement_Register!$C$7:$C$39="DIG")*Engagement_Register!$Y$7:$Y$39*Engagements!$Y$9:$Y$41))</f>
        <v>16.2136194029851</v>
      </c>
      <c r="Z96" s="67" t="n">
        <f aca="false">IF(Z$5="A",Inputs_Actuals!Z154+Inputs_Actuals!Z155,SUMPRODUCT((Engagement_Register!$C$7:$C$39="DIG")*Engagement_Register!$Y$7:$Y$39*Engagements!$Z$9:$Z$41))</f>
        <v>14.7705223880597</v>
      </c>
      <c r="AA96" s="67" t="n">
        <f aca="false">IF(AA$5="A",Inputs_Actuals!AA154+Inputs_Actuals!AA155,SUMPRODUCT((Engagement_Register!$C$7:$C$39="DIG")*Engagement_Register!$Y$7:$Y$39*Engagements!$AA$9:$AA$41))</f>
        <v>15.4496268656716</v>
      </c>
      <c r="AB96" s="67" t="n">
        <f aca="false">IF(AB$5="A",Inputs_Actuals!AB154+Inputs_Actuals!AB155,SUMPRODUCT((Engagement_Register!$C$7:$C$39="DIG")*Engagement_Register!$Y$7:$Y$39*Engagements!$AB$9:$AB$41))</f>
        <v>16.722947761194</v>
      </c>
    </row>
    <row r="97" customFormat="false" ht="15" hidden="false" customHeight="false" outlineLevel="0" collapsed="false">
      <c r="A97" s="29" t="s">
        <v>992</v>
      </c>
      <c r="B97" s="60" t="s">
        <v>993</v>
      </c>
      <c r="C97" s="66" t="n">
        <f aca="false">SUM(E97:P97)</f>
        <v>21.3752893905659</v>
      </c>
      <c r="D97" s="66" t="n">
        <f aca="false">SUM(Q97:AB97)</f>
        <v>333.877494247398</v>
      </c>
      <c r="E97" s="72" t="n">
        <f aca="false">0</f>
        <v>0</v>
      </c>
      <c r="F97" s="72" t="n">
        <f aca="false">0</f>
        <v>0</v>
      </c>
      <c r="G97" s="72" t="n">
        <f aca="false">0</f>
        <v>0</v>
      </c>
      <c r="H97" s="72" t="n">
        <f aca="false">0</f>
        <v>0</v>
      </c>
      <c r="I97" s="72" t="n">
        <f aca="false">0</f>
        <v>0</v>
      </c>
      <c r="J97" s="72" t="n">
        <f aca="false">0</f>
        <v>0</v>
      </c>
      <c r="K97" s="72" t="n">
        <f aca="false">0</f>
        <v>0</v>
      </c>
      <c r="L97" s="72" t="n">
        <f aca="false">0</f>
        <v>0</v>
      </c>
      <c r="M97" s="67" t="n">
        <f aca="false">IF(Assumptions!M$186&gt;=Assumptions!$C$152,MAX(0,Assumptions!$F$64*M95-M96)*Assumptions!$F$168,0)</f>
        <v>0</v>
      </c>
      <c r="N97" s="67" t="n">
        <f aca="false">IF(Assumptions!N$186&gt;=Assumptions!$C$152,MAX(0,Assumptions!$F$64*N95-N96)*Assumptions!$F$168,0)</f>
        <v>0</v>
      </c>
      <c r="O97" s="67" t="n">
        <f aca="false">IF(Assumptions!O$186&gt;=Assumptions!$C$152,MAX(0,Assumptions!$F$64*O95-O96)*Assumptions!$F$168,0)</f>
        <v>10.5428256614716</v>
      </c>
      <c r="P97" s="67" t="n">
        <f aca="false">IF(Assumptions!P$186&gt;=Assumptions!$C$152,MAX(0,Assumptions!$F$64*P95-P96)*Assumptions!$F$168,0)</f>
        <v>10.8324637290944</v>
      </c>
      <c r="Q97" s="67" t="n">
        <f aca="false">IF(Assumptions!Q$186&gt;=Assumptions!$C$152,MAX(0,Assumptions!$F$64*Q95-Q96)*Assumptions!$F$168,0)</f>
        <v>9.26841816393104</v>
      </c>
      <c r="R97" s="67" t="n">
        <f aca="false">IF(Assumptions!R$186&gt;=Assumptions!$C$152,MAX(0,Assumptions!$F$64*R95-R96)*Assumptions!$F$168,0)</f>
        <v>15.375133303217</v>
      </c>
      <c r="S97" s="67" t="n">
        <f aca="false">IF(Assumptions!S$186&gt;=Assumptions!$C$152,MAX(0,Assumptions!$F$64*S95-S96)*Assumptions!$F$168,0)</f>
        <v>16.4933248161782</v>
      </c>
      <c r="T97" s="67" t="n">
        <f aca="false">IF(Assumptions!T$186&gt;=Assumptions!$C$152,MAX(0,Assumptions!$F$64*T95-T96)*Assumptions!$F$168,0)</f>
        <v>29.2877767450174</v>
      </c>
      <c r="U97" s="67" t="n">
        <f aca="false">IF(Assumptions!U$186&gt;=Assumptions!$C$152,MAX(0,Assumptions!$F$64*U95-U96)*Assumptions!$F$168,0)</f>
        <v>22.3220352489052</v>
      </c>
      <c r="V97" s="67" t="n">
        <f aca="false">IF(Assumptions!V$186&gt;=Assumptions!$C$152,MAX(0,Assumptions!$F$64*V95-V96)*Assumptions!$F$168,0)</f>
        <v>35.9251044776119</v>
      </c>
      <c r="W97" s="67" t="n">
        <f aca="false">IF(Assumptions!W$186&gt;=Assumptions!$C$152,MAX(0,Assumptions!$F$64*W95-W96)*Assumptions!$F$168,0)</f>
        <v>34.7965671641791</v>
      </c>
      <c r="X97" s="67" t="n">
        <f aca="false">IF(Assumptions!X$186&gt;=Assumptions!$C$152,MAX(0,Assumptions!$F$64*X95-X96)*Assumptions!$F$168,0)</f>
        <v>30.4705074626866</v>
      </c>
      <c r="Y97" s="67" t="n">
        <f aca="false">IF(Assumptions!Y$186&gt;=Assumptions!$C$152,MAX(0,Assumptions!$F$64*Y95-Y96)*Assumptions!$F$168,0)</f>
        <v>35.9251044776119</v>
      </c>
      <c r="Z97" s="67" t="n">
        <f aca="false">IF(Assumptions!Z$186&gt;=Assumptions!$C$152,MAX(0,Assumptions!$F$64*Z95-Z96)*Assumptions!$F$168,0)</f>
        <v>32.7275820895522</v>
      </c>
      <c r="AA97" s="67" t="n">
        <f aca="false">IF(Assumptions!AA$186&gt;=Assumptions!$C$152,MAX(0,Assumptions!$F$64*AA95-AA96)*Assumptions!$F$168,0)</f>
        <v>34.2322985074627</v>
      </c>
      <c r="AB97" s="67" t="n">
        <f aca="false">IF(Assumptions!AB$186&gt;=Assumptions!$C$152,MAX(0,Assumptions!$F$64*AB95-AB96)*Assumptions!$F$168,0)</f>
        <v>37.0536417910448</v>
      </c>
    </row>
    <row r="98" customFormat="false" ht="15" hidden="false" customHeight="false" outlineLevel="0" collapsed="false">
      <c r="A98" s="29" t="s">
        <v>994</v>
      </c>
      <c r="B98" s="60" t="s">
        <v>995</v>
      </c>
      <c r="C98" s="66" t="n">
        <f aca="false">SUM(E98:P98)</f>
        <v>485.529957199814</v>
      </c>
      <c r="D98" s="66" t="n">
        <f aca="false">SUM(Q98:AB98)</f>
        <v>591.730626438151</v>
      </c>
      <c r="E98" s="72" t="n">
        <f aca="false">E96+E97</f>
        <v>31.536</v>
      </c>
      <c r="F98" s="72" t="n">
        <f aca="false">F96+F97</f>
        <v>28.636</v>
      </c>
      <c r="G98" s="72" t="n">
        <f aca="false">G96+G97</f>
        <v>41.5435</v>
      </c>
      <c r="H98" s="72" t="n">
        <f aca="false">H96+H97</f>
        <v>24.2085</v>
      </c>
      <c r="I98" s="72" t="n">
        <f aca="false">I96+I97</f>
        <v>24.8505</v>
      </c>
      <c r="J98" s="72" t="n">
        <f aca="false">J96+J97</f>
        <v>29.553</v>
      </c>
      <c r="K98" s="72" t="n">
        <f aca="false">K96+K97</f>
        <v>46.17</v>
      </c>
      <c r="L98" s="72" t="n">
        <f aca="false">L96+L97</f>
        <v>35.1915</v>
      </c>
      <c r="M98" s="72" t="n">
        <f aca="false">M96+M97</f>
        <v>56.5341914581059</v>
      </c>
      <c r="N98" s="72" t="n">
        <f aca="false">N96+N97</f>
        <v>54.5705880893491</v>
      </c>
      <c r="O98" s="72" t="n">
        <f aca="false">O96+O97</f>
        <v>55.6042935846321</v>
      </c>
      <c r="P98" s="72" t="n">
        <f aca="false">P96+P97</f>
        <v>57.1318840677264</v>
      </c>
      <c r="Q98" s="72" t="n">
        <f aca="false">Q96+Q97</f>
        <v>48.8828954590173</v>
      </c>
      <c r="R98" s="72" t="n">
        <f aca="false">R96+R97</f>
        <v>48.9562166741958</v>
      </c>
      <c r="S98" s="72" t="n">
        <f aca="false">S96+S97</f>
        <v>52.5166687959554</v>
      </c>
      <c r="T98" s="72" t="n">
        <f aca="false">T96+T97</f>
        <v>51.8780558137457</v>
      </c>
      <c r="U98" s="72" t="n">
        <f aca="false">U96+U97</f>
        <v>39.5394911877737</v>
      </c>
      <c r="V98" s="72" t="n">
        <f aca="false">V96+V97</f>
        <v>52.138723880597</v>
      </c>
      <c r="W98" s="72" t="n">
        <f aca="false">W96+W97</f>
        <v>50.5008582089552</v>
      </c>
      <c r="X98" s="72" t="n">
        <f aca="false">X96+X97</f>
        <v>44.2223731343284</v>
      </c>
      <c r="Y98" s="72" t="n">
        <f aca="false">Y96+Y97</f>
        <v>52.138723880597</v>
      </c>
      <c r="Z98" s="72" t="n">
        <f aca="false">Z96+Z97</f>
        <v>47.4981044776119</v>
      </c>
      <c r="AA98" s="72" t="n">
        <f aca="false">AA96+AA97</f>
        <v>49.6819253731343</v>
      </c>
      <c r="AB98" s="72" t="n">
        <f aca="false">AB96+AB97</f>
        <v>53.7765895522388</v>
      </c>
    </row>
    <row r="99" customFormat="false" ht="15" hidden="false" customHeight="false" outlineLevel="0" collapsed="false">
      <c r="A99" s="29" t="s">
        <v>996</v>
      </c>
      <c r="B99" s="60" t="s">
        <v>997</v>
      </c>
      <c r="C99" s="66" t="n">
        <f aca="false">SUM(E99:P99)</f>
        <v>485.140957199814</v>
      </c>
      <c r="D99" s="66" t="n">
        <f aca="false">SUM(Q99:AB99)</f>
        <v>591.730626438151</v>
      </c>
      <c r="E99" s="67" t="n">
        <f aca="false">IF(E$5="A",Inputs_Actuals!E154,MIN(E98,E95*Assumptions!$C$83))</f>
        <v>31.5</v>
      </c>
      <c r="F99" s="67" t="n">
        <f aca="false">IF(F$5="A",Inputs_Actuals!F154,MIN(F98,F95*Assumptions!$C$83))</f>
        <v>28.6</v>
      </c>
      <c r="G99" s="67" t="n">
        <f aca="false">IF(G$5="A",Inputs_Actuals!G154,MIN(G98,G95*Assumptions!$C$83))</f>
        <v>41.5</v>
      </c>
      <c r="H99" s="67" t="n">
        <f aca="false">IF(H$5="A",Inputs_Actuals!H154,MIN(H98,H95*Assumptions!$C$83))</f>
        <v>24.2</v>
      </c>
      <c r="I99" s="67" t="n">
        <f aca="false">IF(I$5="A",Inputs_Actuals!I154,MIN(I98,I95*Assumptions!$C$83))</f>
        <v>24.8</v>
      </c>
      <c r="J99" s="67" t="n">
        <f aca="false">IF(J$5="A",Inputs_Actuals!J154,MIN(J98,J95*Assumptions!$C$83))</f>
        <v>29.5</v>
      </c>
      <c r="K99" s="67" t="n">
        <f aca="false">IF(K$5="A",Inputs_Actuals!K154,MIN(K98,K95*Assumptions!$C$83))</f>
        <v>46.1</v>
      </c>
      <c r="L99" s="67" t="n">
        <f aca="false">IF(L$5="A",Inputs_Actuals!L154,MIN(L98,L95*Assumptions!$C$83))</f>
        <v>35.1</v>
      </c>
      <c r="M99" s="67" t="n">
        <f aca="false">IF(M$5="A",Inputs_Actuals!M154,MIN(M98,M95*Assumptions!$C$83))</f>
        <v>56.5341914581059</v>
      </c>
      <c r="N99" s="67" t="n">
        <f aca="false">IF(N$5="A",Inputs_Actuals!N154,MIN(N98,N95*Assumptions!$C$83))</f>
        <v>54.5705880893491</v>
      </c>
      <c r="O99" s="67" t="n">
        <f aca="false">IF(O$5="A",Inputs_Actuals!O154,MIN(O98,O95*Assumptions!$C$83))</f>
        <v>55.6042935846321</v>
      </c>
      <c r="P99" s="67" t="n">
        <f aca="false">IF(P$5="A",Inputs_Actuals!P154,MIN(P98,P95*Assumptions!$C$83))</f>
        <v>57.1318840677264</v>
      </c>
      <c r="Q99" s="67" t="n">
        <f aca="false">IF(Q$5="A",Inputs_Actuals!Q154,MIN(Q98,Q95*Assumptions!$C$83))</f>
        <v>48.8828954590173</v>
      </c>
      <c r="R99" s="67" t="n">
        <f aca="false">IF(R$5="A",Inputs_Actuals!R154,MIN(R98,R95*Assumptions!$C$83))</f>
        <v>48.9562166741958</v>
      </c>
      <c r="S99" s="67" t="n">
        <f aca="false">IF(S$5="A",Inputs_Actuals!S154,MIN(S98,S95*Assumptions!$C$83))</f>
        <v>52.5166687959554</v>
      </c>
      <c r="T99" s="67" t="n">
        <f aca="false">IF(T$5="A",Inputs_Actuals!T154,MIN(T98,T95*Assumptions!$C$83))</f>
        <v>51.8780558137457</v>
      </c>
      <c r="U99" s="67" t="n">
        <f aca="false">IF(U$5="A",Inputs_Actuals!U154,MIN(U98,U95*Assumptions!$C$83))</f>
        <v>39.5394911877737</v>
      </c>
      <c r="V99" s="67" t="n">
        <f aca="false">IF(V$5="A",Inputs_Actuals!V154,MIN(V98,V95*Assumptions!$C$83))</f>
        <v>52.138723880597</v>
      </c>
      <c r="W99" s="67" t="n">
        <f aca="false">IF(W$5="A",Inputs_Actuals!W154,MIN(W98,W95*Assumptions!$C$83))</f>
        <v>50.5008582089552</v>
      </c>
      <c r="X99" s="67" t="n">
        <f aca="false">IF(X$5="A",Inputs_Actuals!X154,MIN(X98,X95*Assumptions!$C$83))</f>
        <v>44.2223731343284</v>
      </c>
      <c r="Y99" s="67" t="n">
        <f aca="false">IF(Y$5="A",Inputs_Actuals!Y154,MIN(Y98,Y95*Assumptions!$C$83))</f>
        <v>52.138723880597</v>
      </c>
      <c r="Z99" s="67" t="n">
        <f aca="false">IF(Z$5="A",Inputs_Actuals!Z154,MIN(Z98,Z95*Assumptions!$C$83))</f>
        <v>47.4981044776119</v>
      </c>
      <c r="AA99" s="67" t="n">
        <f aca="false">IF(AA$5="A",Inputs_Actuals!AA154,MIN(AA98,AA95*Assumptions!$C$83))</f>
        <v>49.6819253731343</v>
      </c>
      <c r="AB99" s="67" t="n">
        <f aca="false">IF(AB$5="A",Inputs_Actuals!AB154,MIN(AB98,AB95*Assumptions!$C$83))</f>
        <v>53.7765895522388</v>
      </c>
    </row>
    <row r="100" customFormat="false" ht="15" hidden="false" customHeight="false" outlineLevel="0" collapsed="false">
      <c r="A100" s="29" t="s">
        <v>998</v>
      </c>
      <c r="B100" s="60" t="s">
        <v>999</v>
      </c>
      <c r="C100" s="66" t="n">
        <f aca="false">SUM(E100:P100)</f>
        <v>0.389</v>
      </c>
      <c r="D100" s="66" t="n">
        <f aca="false">SUM(Q100:AB100)</f>
        <v>0</v>
      </c>
      <c r="E100" s="67" t="n">
        <f aca="false">IF(E$5="A",Inputs_Actuals!E155,E98-E99)</f>
        <v>0.036</v>
      </c>
      <c r="F100" s="67" t="n">
        <f aca="false">IF(F$5="A",Inputs_Actuals!F155,F98-F99)</f>
        <v>0.036</v>
      </c>
      <c r="G100" s="67" t="n">
        <f aca="false">IF(G$5="A",Inputs_Actuals!G155,G98-G99)</f>
        <v>0.0435</v>
      </c>
      <c r="H100" s="67" t="n">
        <f aca="false">IF(H$5="A",Inputs_Actuals!H155,H98-H99)</f>
        <v>0.0085</v>
      </c>
      <c r="I100" s="67" t="n">
        <f aca="false">IF(I$5="A",Inputs_Actuals!I155,I98-I99)</f>
        <v>0.0505</v>
      </c>
      <c r="J100" s="67" t="n">
        <f aca="false">IF(J$5="A",Inputs_Actuals!J155,J98-J99)</f>
        <v>0.053</v>
      </c>
      <c r="K100" s="67" t="n">
        <f aca="false">IF(K$5="A",Inputs_Actuals!K155,K98-K99)</f>
        <v>0.07</v>
      </c>
      <c r="L100" s="67" t="n">
        <f aca="false">IF(L$5="A",Inputs_Actuals!L155,L98-L99)</f>
        <v>0.0915</v>
      </c>
      <c r="M100" s="67" t="n">
        <f aca="false">IF(M$5="A",Inputs_Actuals!M155,M98-M99)</f>
        <v>0</v>
      </c>
      <c r="N100" s="67" t="n">
        <f aca="false">IF(N$5="A",Inputs_Actuals!N155,N98-N99)</f>
        <v>0</v>
      </c>
      <c r="O100" s="67" t="n">
        <f aca="false">IF(O$5="A",Inputs_Actuals!O155,O98-O99)</f>
        <v>0</v>
      </c>
      <c r="P100" s="67" t="n">
        <f aca="false">IF(P$5="A",Inputs_Actuals!P155,P98-P99)</f>
        <v>0</v>
      </c>
      <c r="Q100" s="67" t="n">
        <f aca="false">IF(Q$5="A",Inputs_Actuals!Q155,Q98-Q99)</f>
        <v>0</v>
      </c>
      <c r="R100" s="67" t="n">
        <f aca="false">IF(R$5="A",Inputs_Actuals!R155,R98-R99)</f>
        <v>0</v>
      </c>
      <c r="S100" s="67" t="n">
        <f aca="false">IF(S$5="A",Inputs_Actuals!S155,S98-S99)</f>
        <v>0</v>
      </c>
      <c r="T100" s="67" t="n">
        <f aca="false">IF(T$5="A",Inputs_Actuals!T155,T98-T99)</f>
        <v>0</v>
      </c>
      <c r="U100" s="67" t="n">
        <f aca="false">IF(U$5="A",Inputs_Actuals!U155,U98-U99)</f>
        <v>0</v>
      </c>
      <c r="V100" s="67" t="n">
        <f aca="false">IF(V$5="A",Inputs_Actuals!V155,V98-V99)</f>
        <v>0</v>
      </c>
      <c r="W100" s="67" t="n">
        <f aca="false">IF(W$5="A",Inputs_Actuals!W155,W98-W99)</f>
        <v>0</v>
      </c>
      <c r="X100" s="67" t="n">
        <f aca="false">IF(X$5="A",Inputs_Actuals!X155,X98-X99)</f>
        <v>0</v>
      </c>
      <c r="Y100" s="67" t="n">
        <f aca="false">IF(Y$5="A",Inputs_Actuals!Y155,Y98-Y99)</f>
        <v>0</v>
      </c>
      <c r="Z100" s="67" t="n">
        <f aca="false">IF(Z$5="A",Inputs_Actuals!Z155,Z98-Z99)</f>
        <v>0</v>
      </c>
      <c r="AA100" s="67" t="n">
        <f aca="false">IF(AA$5="A",Inputs_Actuals!AA155,AA98-AA99)</f>
        <v>0</v>
      </c>
      <c r="AB100" s="67" t="n">
        <f aca="false">IF(AB$5="A",Inputs_Actuals!AB155,AB98-AB99)</f>
        <v>0</v>
      </c>
    </row>
    <row r="101" customFormat="false" ht="15" hidden="false" customHeight="false" outlineLevel="0" collapsed="false">
      <c r="A101" s="29" t="s">
        <v>1000</v>
      </c>
      <c r="B101" s="60" t="s">
        <v>1001</v>
      </c>
      <c r="C101" s="63" t="n">
        <f aca="false">IF(C95=0,0,C99/C95)</f>
        <v>0.288774379285603</v>
      </c>
      <c r="D101" s="63" t="n">
        <f aca="false">IF(D95=0,0,D99/D95)</f>
        <v>0.350551318979947</v>
      </c>
      <c r="E101" s="64" t="n">
        <f aca="false">IF(E95=0,0,E99/E95)</f>
        <v>0.231617647058824</v>
      </c>
      <c r="F101" s="64" t="n">
        <f aca="false">IF(F95=0,0,F99/F95)</f>
        <v>0.216666666666667</v>
      </c>
      <c r="G101" s="64" t="n">
        <f aca="false">IF(G95=0,0,G99/G95)</f>
        <v>0.277406417112299</v>
      </c>
      <c r="H101" s="64" t="n">
        <f aca="false">IF(H95=0,0,H99/H95)</f>
        <v>0.183333333333333</v>
      </c>
      <c r="I101" s="64" t="n">
        <f aca="false">IF(I95=0,0,I99/I95)</f>
        <v>0.219858156028369</v>
      </c>
      <c r="J101" s="64" t="n">
        <f aca="false">IF(J95=0,0,J99/J95)</f>
        <v>0.203729281767956</v>
      </c>
      <c r="K101" s="64" t="n">
        <f aca="false">IF(K95=0,0,K99/K95)</f>
        <v>0.295512820512821</v>
      </c>
      <c r="L101" s="64" t="n">
        <f aca="false">IF(L95=0,0,L99/L95)</f>
        <v>0.288651315789474</v>
      </c>
      <c r="M101" s="64" t="n">
        <f aca="false">IF(M95=0,0,M99/M95)</f>
        <v>0.36998816399284</v>
      </c>
      <c r="N101" s="64" t="n">
        <f aca="false">IF(N95=0,0,N99/N95)</f>
        <v>0.370724103867861</v>
      </c>
      <c r="O101" s="64" t="n">
        <f aca="false">IF(O95=0,0,O99/O95)</f>
        <v>0.381897620773572</v>
      </c>
      <c r="P101" s="64" t="n">
        <f aca="false">IF(P95=0,0,P99/P95)</f>
        <v>0.381897620773572</v>
      </c>
      <c r="Q101" s="64" t="n">
        <f aca="false">IF(Q95=0,0,Q99/Q95)</f>
        <v>0.381897620773572</v>
      </c>
      <c r="R101" s="64" t="n">
        <f aca="false">IF(R95=0,0,R99/R95)</f>
        <v>0.370880429349968</v>
      </c>
      <c r="S101" s="64" t="n">
        <f aca="false">IF(S95=0,0,S99/S95)</f>
        <v>0.370880429349968</v>
      </c>
      <c r="T101" s="64" t="n">
        <f aca="false">IF(T95=0,0,T99/T95)</f>
        <v>0.35052740414693</v>
      </c>
      <c r="U101" s="64" t="n">
        <f aca="false">IF(U95=0,0,U99/U95)</f>
        <v>0.35052740414693</v>
      </c>
      <c r="V101" s="64" t="n">
        <f aca="false">IF(V95=0,0,V99/V95)</f>
        <v>0.341222014925373</v>
      </c>
      <c r="W101" s="64" t="n">
        <f aca="false">IF(W95=0,0,W99/W95)</f>
        <v>0.341222014925373</v>
      </c>
      <c r="X101" s="64" t="n">
        <f aca="false">IF(X95=0,0,X99/X95)</f>
        <v>0.341222014925373</v>
      </c>
      <c r="Y101" s="64" t="n">
        <f aca="false">IF(Y95=0,0,Y99/Y95)</f>
        <v>0.341222014925373</v>
      </c>
      <c r="Z101" s="64" t="n">
        <f aca="false">IF(Z95=0,0,Z99/Z95)</f>
        <v>0.341222014925373</v>
      </c>
      <c r="AA101" s="64" t="n">
        <f aca="false">IF(AA95=0,0,AA99/AA95)</f>
        <v>0.341222014925373</v>
      </c>
      <c r="AB101" s="64" t="n">
        <f aca="false">IF(AB95=0,0,AB99/AB95)</f>
        <v>0.341222014925373</v>
      </c>
    </row>
    <row r="102" customFormat="false" ht="15" hidden="false" customHeight="false" outlineLevel="0" collapsed="false">
      <c r="A102" s="29" t="s">
        <v>1002</v>
      </c>
      <c r="B102" s="60" t="s">
        <v>989</v>
      </c>
      <c r="C102" s="66" t="n">
        <f aca="false">SUM(E102:P102)</f>
        <v>1674.47233511454</v>
      </c>
      <c r="D102" s="66" t="n">
        <f aca="false">SUM(Q102:AB102)</f>
        <v>1667.15856652026</v>
      </c>
      <c r="E102" s="67" t="n">
        <f aca="false">(People!E91)*Assumptions!E$200</f>
        <v>136</v>
      </c>
      <c r="F102" s="67" t="n">
        <f aca="false">(People!F91)*Assumptions!F$200</f>
        <v>132</v>
      </c>
      <c r="G102" s="67" t="n">
        <f aca="false">(People!G91)*Assumptions!G$200</f>
        <v>149.6</v>
      </c>
      <c r="H102" s="67" t="n">
        <f aca="false">(People!H91)*Assumptions!H$200</f>
        <v>132</v>
      </c>
      <c r="I102" s="67" t="n">
        <f aca="false">(People!I91)*Assumptions!I$200</f>
        <v>112.8</v>
      </c>
      <c r="J102" s="67" t="n">
        <f aca="false">(People!J91)*Assumptions!J$200</f>
        <v>144.8</v>
      </c>
      <c r="K102" s="67" t="n">
        <f aca="false">(People!K91)*Assumptions!K$200</f>
        <v>156</v>
      </c>
      <c r="L102" s="67" t="n">
        <f aca="false">(People!L91)*Assumptions!L$200</f>
        <v>121.6</v>
      </c>
      <c r="M102" s="67" t="n">
        <f aca="false">(People!M91)*Assumptions!M$200</f>
        <v>152.163333333333</v>
      </c>
      <c r="N102" s="67" t="n">
        <f aca="false">(People!N91)*Assumptions!N$200</f>
        <v>145.975888888889</v>
      </c>
      <c r="O102" s="67" t="n">
        <f aca="false">(People!O91)*Assumptions!O$200</f>
        <v>143.787572800926</v>
      </c>
      <c r="P102" s="67" t="n">
        <f aca="false">(People!P91)*Assumptions!P$200</f>
        <v>147.745540091387</v>
      </c>
      <c r="Q102" s="67" t="n">
        <f aca="false">(People!Q91)*Assumptions!Q$200</f>
        <v>126.417685377926</v>
      </c>
      <c r="R102" s="67" t="n">
        <f aca="false">(People!R91)*Assumptions!R$200</f>
        <v>130.370463269405</v>
      </c>
      <c r="S102" s="67" t="n">
        <f aca="false">(People!S91)*Assumptions!S$200</f>
        <v>139.851890729054</v>
      </c>
      <c r="T102" s="67" t="n">
        <f aca="false">(People!T91)*Assumptions!T$200</f>
        <v>146.172848864481</v>
      </c>
      <c r="U102" s="67" t="n">
        <f aca="false">(People!U91)*Assumptions!U$200</f>
        <v>111.40740691787</v>
      </c>
      <c r="V102" s="67" t="n">
        <f aca="false">(People!V91)*Assumptions!V$200</f>
        <v>150.913580034618</v>
      </c>
      <c r="W102" s="67" t="n">
        <f aca="false">(People!W91)*Assumptions!W$200</f>
        <v>146.172839470713</v>
      </c>
      <c r="X102" s="67" t="n">
        <f aca="false">(People!X91)*Assumptions!X$200</f>
        <v>128.000000003223</v>
      </c>
      <c r="Y102" s="67" t="n">
        <f aca="false">(People!Y91)*Assumptions!Y$200</f>
        <v>150.913580247935</v>
      </c>
      <c r="Z102" s="67" t="n">
        <f aca="false">(People!Z91)*Assumptions!Z$200</f>
        <v>137.481481481602</v>
      </c>
      <c r="AA102" s="67" t="n">
        <f aca="false">(People!AA91)*Assumptions!AA$200</f>
        <v>143.802469135783</v>
      </c>
      <c r="AB102" s="67" t="n">
        <f aca="false">(People!AB91)*Assumptions!AB$200</f>
        <v>155.654320987649</v>
      </c>
    </row>
    <row r="103" customFormat="false" ht="15" hidden="false" customHeight="false" outlineLevel="0" collapsed="false">
      <c r="A103" s="29" t="s">
        <v>1003</v>
      </c>
      <c r="B103" s="60" t="s">
        <v>991</v>
      </c>
      <c r="C103" s="66" t="n">
        <f aca="false">SUM(E103:P103)</f>
        <v>758.060387552426</v>
      </c>
      <c r="D103" s="66" t="n">
        <f aca="false">SUM(Q103:AB103)</f>
        <v>464.923212447574</v>
      </c>
      <c r="E103" s="67" t="n">
        <f aca="false">IF(E$5="A",Inputs_Actuals!E156+Inputs_Actuals!E157,SUMPRODUCT((Engagement_Register!$C$7:$C$39="DIG")*Engagement_Register!$Z$7:$Z$39*Engagements!$E$9:$E$41))</f>
        <v>52.776</v>
      </c>
      <c r="F103" s="67" t="n">
        <f aca="false">IF(F$5="A",Inputs_Actuals!F156+Inputs_Actuals!F157,SUMPRODUCT((Engagement_Register!$C$7:$C$39="DIG")*Engagement_Register!$Z$7:$Z$39*Engagements!$F$9:$F$41))</f>
        <v>47.296</v>
      </c>
      <c r="G103" s="67" t="n">
        <f aca="false">IF(G$5="A",Inputs_Actuals!G156+Inputs_Actuals!G157,SUMPRODUCT((Engagement_Register!$C$7:$C$39="DIG")*Engagement_Register!$Z$7:$Z$39*Engagements!$G$9:$G$41))</f>
        <v>67.6935</v>
      </c>
      <c r="H103" s="67" t="n">
        <f aca="false">IF(H$5="A",Inputs_Actuals!H156+Inputs_Actuals!H157,SUMPRODUCT((Engagement_Register!$C$7:$C$39="DIG")*Engagement_Register!$Z$7:$Z$39*Engagements!$H$9:$H$41))</f>
        <v>44.3445</v>
      </c>
      <c r="I103" s="67" t="n">
        <f aca="false">IF(I$5="A",Inputs_Actuals!I156+Inputs_Actuals!I157,SUMPRODUCT((Engagement_Register!$C$7:$C$39="DIG")*Engagement_Register!$Z$7:$Z$39*Engagements!$I$9:$I$41))</f>
        <v>46.1485</v>
      </c>
      <c r="J103" s="67" t="n">
        <f aca="false">IF(J$5="A",Inputs_Actuals!J156+Inputs_Actuals!J157,SUMPRODUCT((Engagement_Register!$C$7:$C$39="DIG")*Engagement_Register!$Z$7:$Z$39*Engagements!$J$9:$J$41))</f>
        <v>54.296</v>
      </c>
      <c r="K103" s="67" t="n">
        <f aca="false">IF(K$5="A",Inputs_Actuals!K156+Inputs_Actuals!K157,SUMPRODUCT((Engagement_Register!$C$7:$C$39="DIG")*Engagement_Register!$Z$7:$Z$39*Engagements!$K$9:$K$41))</f>
        <v>74.527</v>
      </c>
      <c r="L103" s="67" t="n">
        <f aca="false">IF(L$5="A",Inputs_Actuals!L156+Inputs_Actuals!L157,SUMPRODUCT((Engagement_Register!$C$7:$C$39="DIG")*Engagement_Register!$Z$7:$Z$39*Engagements!$L$9:$L$41))</f>
        <v>55.7585</v>
      </c>
      <c r="M103" s="67" t="n">
        <f aca="false">IF(M$5="A",Inputs_Actuals!M156+Inputs_Actuals!M157,SUMPRODUCT((Engagement_Register!$C$7:$C$39="DIG")*Engagement_Register!$Z$7:$Z$39*Engagements!$M$9:$M$41))</f>
        <v>87.5431654394864</v>
      </c>
      <c r="N103" s="67" t="n">
        <f aca="false">IF(N$5="A",Inputs_Actuals!N156+Inputs_Actuals!N157,SUMPRODUCT((Engagement_Register!$C$7:$C$39="DIG")*Engagement_Register!$Z$7:$Z$39*Engagements!$N$9:$N$41))</f>
        <v>84.4431075269093</v>
      </c>
      <c r="O103" s="67" t="n">
        <f aca="false">IF(O$5="A",Inputs_Actuals!O156+Inputs_Actuals!O157,SUMPRODUCT((Engagement_Register!$C$7:$C$39="DIG")*Engagement_Register!$Z$7:$Z$39*Engagements!$O$9:$O$41))</f>
        <v>70.6466364624864</v>
      </c>
      <c r="P103" s="67" t="n">
        <f aca="false">IF(P$5="A",Inputs_Actuals!P156+Inputs_Actuals!P157,SUMPRODUCT((Engagement_Register!$C$7:$C$39="DIG")*Engagement_Register!$Z$7:$Z$39*Engagements!$P$9:$P$41))</f>
        <v>72.5874781235437</v>
      </c>
      <c r="Q103" s="67" t="n">
        <f aca="false">IF(Q$5="A",Inputs_Actuals!Q156+Inputs_Actuals!Q157,SUMPRODUCT((Engagement_Register!$C$7:$C$39="DIG")*Engagement_Register!$Z$7:$Z$39*Engagements!$Q$9:$Q$41))</f>
        <v>62.1069331538342</v>
      </c>
      <c r="R103" s="67" t="n">
        <f aca="false">IF(R$5="A",Inputs_Actuals!R156+Inputs_Actuals!R157,SUMPRODUCT((Engagement_Register!$C$7:$C$39="DIG")*Engagement_Register!$Z$7:$Z$39*Engagements!$R$9:$R$41))</f>
        <v>56.7764284753126</v>
      </c>
      <c r="S103" s="67" t="n">
        <f aca="false">IF(S$5="A",Inputs_Actuals!S156+Inputs_Actuals!S157,SUMPRODUCT((Engagement_Register!$C$7:$C$39="DIG")*Engagement_Register!$Z$7:$Z$39*Engagements!$S$9:$S$41))</f>
        <v>60.9056232735172</v>
      </c>
      <c r="T103" s="67" t="n">
        <f aca="false">IF(T$5="A",Inputs_Actuals!T156+Inputs_Actuals!T157,SUMPRODUCT((Engagement_Register!$C$7:$C$39="DIG")*Engagement_Register!$Z$7:$Z$39*Engagements!$T$9:$T$41))</f>
        <v>38.2945701135043</v>
      </c>
      <c r="U103" s="67" t="n">
        <f aca="false">IF(U$5="A",Inputs_Actuals!U156+Inputs_Actuals!U157,SUMPRODUCT((Engagement_Register!$C$7:$C$39="DIG")*Engagement_Register!$Z$7:$Z$39*Engagements!$U$9:$U$41))</f>
        <v>29.186672356779</v>
      </c>
      <c r="V103" s="67" t="n">
        <f aca="false">IF(V$5="A",Inputs_Actuals!V156+Inputs_Actuals!V157,SUMPRODUCT((Engagement_Register!$C$7:$C$39="DIG")*Engagement_Register!$Z$7:$Z$39*Engagements!$V$9:$V$41))</f>
        <v>32.4272388059702</v>
      </c>
      <c r="W103" s="67" t="n">
        <f aca="false">IF(W$5="A",Inputs_Actuals!W156+Inputs_Actuals!W157,SUMPRODUCT((Engagement_Register!$C$7:$C$39="DIG")*Engagement_Register!$Z$7:$Z$39*Engagements!$W$9:$W$41))</f>
        <v>31.4085820895522</v>
      </c>
      <c r="X103" s="67" t="n">
        <f aca="false">IF(X$5="A",Inputs_Actuals!X156+Inputs_Actuals!X157,SUMPRODUCT((Engagement_Register!$C$7:$C$39="DIG")*Engagement_Register!$Z$7:$Z$39*Engagements!$X$9:$X$41))</f>
        <v>27.5037313432836</v>
      </c>
      <c r="Y103" s="67" t="n">
        <f aca="false">IF(Y$5="A",Inputs_Actuals!Y156+Inputs_Actuals!Y157,SUMPRODUCT((Engagement_Register!$C$7:$C$39="DIG")*Engagement_Register!$Z$7:$Z$39*Engagements!$Y$9:$Y$41))</f>
        <v>32.4272388059702</v>
      </c>
      <c r="Z103" s="67" t="n">
        <f aca="false">IF(Z$5="A",Inputs_Actuals!Z156+Inputs_Actuals!Z157,SUMPRODUCT((Engagement_Register!$C$7:$C$39="DIG")*Engagement_Register!$Z$7:$Z$39*Engagements!$Z$9:$Z$41))</f>
        <v>29.5410447761194</v>
      </c>
      <c r="AA103" s="67" t="n">
        <f aca="false">IF(AA$5="A",Inputs_Actuals!AA156+Inputs_Actuals!AA157,SUMPRODUCT((Engagement_Register!$C$7:$C$39="DIG")*Engagement_Register!$Z$7:$Z$39*Engagements!$AA$9:$AA$41))</f>
        <v>30.8992537313433</v>
      </c>
      <c r="AB103" s="67" t="n">
        <f aca="false">IF(AB$5="A",Inputs_Actuals!AB156+Inputs_Actuals!AB157,SUMPRODUCT((Engagement_Register!$C$7:$C$39="DIG")*Engagement_Register!$Z$7:$Z$39*Engagements!$AB$9:$AB$41))</f>
        <v>33.4458955223881</v>
      </c>
    </row>
    <row r="104" customFormat="false" ht="15" hidden="false" customHeight="false" outlineLevel="0" collapsed="false">
      <c r="A104" s="29" t="s">
        <v>1004</v>
      </c>
      <c r="B104" s="60" t="s">
        <v>993</v>
      </c>
      <c r="C104" s="66" t="n">
        <f aca="false">SUM(E104:P104)</f>
        <v>25.3486025194861</v>
      </c>
      <c r="D104" s="66" t="n">
        <f aca="false">SUM(Q104:AB104)</f>
        <v>428.297541971666</v>
      </c>
      <c r="E104" s="72" t="n">
        <f aca="false">0</f>
        <v>0</v>
      </c>
      <c r="F104" s="72" t="n">
        <f aca="false">0</f>
        <v>0</v>
      </c>
      <c r="G104" s="72" t="n">
        <f aca="false">0</f>
        <v>0</v>
      </c>
      <c r="H104" s="72" t="n">
        <f aca="false">0</f>
        <v>0</v>
      </c>
      <c r="I104" s="72" t="n">
        <f aca="false">0</f>
        <v>0</v>
      </c>
      <c r="J104" s="72" t="n">
        <f aca="false">0</f>
        <v>0</v>
      </c>
      <c r="K104" s="72" t="n">
        <f aca="false">0</f>
        <v>0</v>
      </c>
      <c r="L104" s="72" t="n">
        <f aca="false">0</f>
        <v>0</v>
      </c>
      <c r="M104" s="67" t="n">
        <f aca="false">IF(Assumptions!M$186&gt;=Assumptions!$C$152,MAX(0,Assumptions!$F$65*M102-M103)*Assumptions!$F$168,0)</f>
        <v>0</v>
      </c>
      <c r="N104" s="67" t="n">
        <f aca="false">IF(Assumptions!N$186&gt;=Assumptions!$C$152,MAX(0,Assumptions!$F$65*N102-N103)*Assumptions!$F$168,0)</f>
        <v>0</v>
      </c>
      <c r="O104" s="67" t="n">
        <f aca="false">IF(Assumptions!O$186&gt;=Assumptions!$C$152,MAX(0,Assumptions!$F$65*O102-O103)*Assumptions!$F$168,0)</f>
        <v>12.5007257744553</v>
      </c>
      <c r="P104" s="67" t="n">
        <f aca="false">IF(Assumptions!P$186&gt;=Assumptions!$C$152,MAX(0,Assumptions!$F$65*P102-P103)*Assumptions!$F$168,0)</f>
        <v>12.8478767450308</v>
      </c>
      <c r="Q104" s="67" t="n">
        <f aca="false">IF(Assumptions!Q$186&gt;=Assumptions!$C$152,MAX(0,Assumptions!$F$65*Q102-Q103)*Assumptions!$F$168,0)</f>
        <v>10.994942458337</v>
      </c>
      <c r="R104" s="67" t="n">
        <f aca="false">IF(Assumptions!R$186&gt;=Assumptions!$C$152,MAX(0,Assumptions!$F$65*R102-R103)*Assumptions!$F$168,0)</f>
        <v>17.1566795890645</v>
      </c>
      <c r="S104" s="67" t="n">
        <f aca="false">IF(Assumptions!S$186&gt;=Assumptions!$C$152,MAX(0,Assumptions!$F$65*S102-S103)*Assumptions!$F$168,0)</f>
        <v>18.4044089311323</v>
      </c>
      <c r="T104" s="67" t="n">
        <f aca="false">IF(Assumptions!T$186&gt;=Assumptions!$C$152,MAX(0,Assumptions!$F$65*T102-T103)*Assumptions!$F$168,0)</f>
        <v>39.5273113641476</v>
      </c>
      <c r="U104" s="67" t="n">
        <f aca="false">IF(Assumptions!U$186&gt;=Assumptions!$C$152,MAX(0,Assumptions!$F$65*U102-U103)*Assumptions!$F$168,0)</f>
        <v>30.1262174351544</v>
      </c>
      <c r="V104" s="67" t="n">
        <f aca="false">IF(Assumptions!V$186&gt;=Assumptions!$C$152,MAX(0,Assumptions!$F$65*V102-V103)*Assumptions!$F$168,0)</f>
        <v>46.4967273718406</v>
      </c>
      <c r="W104" s="67" t="n">
        <f aca="false">IF(Assumptions!W$186&gt;=Assumptions!$C$152,MAX(0,Assumptions!$F$65*W102-W103)*Assumptions!$F$168,0)</f>
        <v>45.0360972743004</v>
      </c>
      <c r="X104" s="67" t="n">
        <f aca="false">IF(Assumptions!X$186&gt;=Assumptions!$C$152,MAX(0,Assumptions!$F$65*X102-X103)*Assumptions!$F$168,0)</f>
        <v>39.4370149269203</v>
      </c>
      <c r="Y104" s="67" t="n">
        <f aca="false">IF(Assumptions!Y$186&gt;=Assumptions!$C$152,MAX(0,Assumptions!$F$65*Y102-Y103)*Assumptions!$F$168,0)</f>
        <v>46.4967274742326</v>
      </c>
      <c r="Z104" s="67" t="n">
        <f aca="false">IF(Assumptions!Z$186&gt;=Assumptions!$C$152,MAX(0,Assumptions!$F$65*Z102-Z103)*Assumptions!$F$168,0)</f>
        <v>42.3582752902735</v>
      </c>
      <c r="AA104" s="67" t="n">
        <f aca="false">IF(Assumptions!AA$186&gt;=Assumptions!$C$152,MAX(0,Assumptions!$F$65*AA102-AA103)*Assumptions!$F$168,0)</f>
        <v>44.3057822001011</v>
      </c>
      <c r="AB104" s="67" t="n">
        <f aca="false">IF(Assumptions!AB$186&gt;=Assumptions!$C$152,MAX(0,Assumptions!$F$65*AB102-AB103)*Assumptions!$F$168,0)</f>
        <v>47.9573576561613</v>
      </c>
    </row>
    <row r="105" customFormat="false" ht="15" hidden="false" customHeight="false" outlineLevel="0" collapsed="false">
      <c r="A105" s="29" t="s">
        <v>1005</v>
      </c>
      <c r="B105" s="60" t="s">
        <v>995</v>
      </c>
      <c r="C105" s="66" t="n">
        <f aca="false">SUM(E105:P105)</f>
        <v>783.408990071912</v>
      </c>
      <c r="D105" s="66" t="n">
        <f aca="false">SUM(Q105:AB105)</f>
        <v>893.22075441924</v>
      </c>
      <c r="E105" s="72" t="n">
        <f aca="false">E103+E104</f>
        <v>52.776</v>
      </c>
      <c r="F105" s="72" t="n">
        <f aca="false">F103+F104</f>
        <v>47.296</v>
      </c>
      <c r="G105" s="72" t="n">
        <f aca="false">G103+G104</f>
        <v>67.6935</v>
      </c>
      <c r="H105" s="72" t="n">
        <f aca="false">H103+H104</f>
        <v>44.3445</v>
      </c>
      <c r="I105" s="72" t="n">
        <f aca="false">I103+I104</f>
        <v>46.1485</v>
      </c>
      <c r="J105" s="72" t="n">
        <f aca="false">J103+J104</f>
        <v>54.296</v>
      </c>
      <c r="K105" s="72" t="n">
        <f aca="false">K103+K104</f>
        <v>74.527</v>
      </c>
      <c r="L105" s="72" t="n">
        <f aca="false">L103+L104</f>
        <v>55.7585</v>
      </c>
      <c r="M105" s="72" t="n">
        <f aca="false">M103+M104</f>
        <v>87.5431654394864</v>
      </c>
      <c r="N105" s="72" t="n">
        <f aca="false">N103+N104</f>
        <v>84.4431075269093</v>
      </c>
      <c r="O105" s="72" t="n">
        <f aca="false">O103+O104</f>
        <v>83.1473622369417</v>
      </c>
      <c r="P105" s="72" t="n">
        <f aca="false">P103+P104</f>
        <v>85.4353548685745</v>
      </c>
      <c r="Q105" s="72" t="n">
        <f aca="false">Q103+Q104</f>
        <v>73.1018756121712</v>
      </c>
      <c r="R105" s="72" t="n">
        <f aca="false">R103+R104</f>
        <v>73.9331080643771</v>
      </c>
      <c r="S105" s="72" t="n">
        <f aca="false">S103+S104</f>
        <v>79.3100322046495</v>
      </c>
      <c r="T105" s="72" t="n">
        <f aca="false">T103+T104</f>
        <v>77.8218814776519</v>
      </c>
      <c r="U105" s="72" t="n">
        <f aca="false">U103+U104</f>
        <v>59.3128897919334</v>
      </c>
      <c r="V105" s="72" t="n">
        <f aca="false">V103+V104</f>
        <v>78.9239661778107</v>
      </c>
      <c r="W105" s="72" t="n">
        <f aca="false">W103+W104</f>
        <v>76.4446793638526</v>
      </c>
      <c r="X105" s="72" t="n">
        <f aca="false">X103+X104</f>
        <v>66.9407462702038</v>
      </c>
      <c r="Y105" s="72" t="n">
        <f aca="false">Y103+Y104</f>
        <v>78.9239662802028</v>
      </c>
      <c r="Z105" s="72" t="n">
        <f aca="false">Z103+Z104</f>
        <v>71.8993200663929</v>
      </c>
      <c r="AA105" s="72" t="n">
        <f aca="false">AA103+AA104</f>
        <v>75.2050359314444</v>
      </c>
      <c r="AB105" s="72" t="n">
        <f aca="false">AB103+AB104</f>
        <v>81.4032531785494</v>
      </c>
    </row>
    <row r="106" customFormat="false" ht="15" hidden="false" customHeight="false" outlineLevel="0" collapsed="false">
      <c r="A106" s="29" t="s">
        <v>1006</v>
      </c>
      <c r="B106" s="60" t="s">
        <v>997</v>
      </c>
      <c r="C106" s="66" t="n">
        <f aca="false">SUM(E106:P106)</f>
        <v>782.868990071912</v>
      </c>
      <c r="D106" s="66" t="n">
        <f aca="false">SUM(Q106:AB106)</f>
        <v>893.22075441924</v>
      </c>
      <c r="E106" s="67" t="n">
        <f aca="false">IF(E$5="A",Inputs_Actuals!E156,MIN(E105,E102*Assumptions!$C$83))</f>
        <v>52.7</v>
      </c>
      <c r="F106" s="67" t="n">
        <f aca="false">IF(F$5="A",Inputs_Actuals!F156,MIN(F105,F102*Assumptions!$C$83))</f>
        <v>47.2</v>
      </c>
      <c r="G106" s="67" t="n">
        <f aca="false">IF(G$5="A",Inputs_Actuals!G156,MIN(G105,G102*Assumptions!$C$83))</f>
        <v>67.6</v>
      </c>
      <c r="H106" s="67" t="n">
        <f aca="false">IF(H$5="A",Inputs_Actuals!H156,MIN(H105,H102*Assumptions!$C$83))</f>
        <v>44.3</v>
      </c>
      <c r="I106" s="67" t="n">
        <f aca="false">IF(I$5="A",Inputs_Actuals!I156,MIN(I105,I102*Assumptions!$C$83))</f>
        <v>46.1</v>
      </c>
      <c r="J106" s="67" t="n">
        <f aca="false">IF(J$5="A",Inputs_Actuals!J156,MIN(J105,J102*Assumptions!$C$83))</f>
        <v>54.2</v>
      </c>
      <c r="K106" s="67" t="n">
        <f aca="false">IF(K$5="A",Inputs_Actuals!K156,MIN(K105,K102*Assumptions!$C$83))</f>
        <v>74.5</v>
      </c>
      <c r="L106" s="67" t="n">
        <f aca="false">IF(L$5="A",Inputs_Actuals!L156,MIN(L105,L102*Assumptions!$C$83))</f>
        <v>55.7</v>
      </c>
      <c r="M106" s="67" t="n">
        <f aca="false">IF(M$5="A",Inputs_Actuals!M156,MIN(M105,M102*Assumptions!$C$83))</f>
        <v>87.5431654394864</v>
      </c>
      <c r="N106" s="67" t="n">
        <f aca="false">IF(N$5="A",Inputs_Actuals!N156,MIN(N105,N102*Assumptions!$C$83))</f>
        <v>84.4431075269093</v>
      </c>
      <c r="O106" s="67" t="n">
        <f aca="false">IF(O$5="A",Inputs_Actuals!O156,MIN(O105,O102*Assumptions!$C$83))</f>
        <v>83.1473622369417</v>
      </c>
      <c r="P106" s="67" t="n">
        <f aca="false">IF(P$5="A",Inputs_Actuals!P156,MIN(P105,P102*Assumptions!$C$83))</f>
        <v>85.4353548685745</v>
      </c>
      <c r="Q106" s="67" t="n">
        <f aca="false">IF(Q$5="A",Inputs_Actuals!Q156,MIN(Q105,Q102*Assumptions!$C$83))</f>
        <v>73.1018756121712</v>
      </c>
      <c r="R106" s="67" t="n">
        <f aca="false">IF(R$5="A",Inputs_Actuals!R156,MIN(R105,R102*Assumptions!$C$83))</f>
        <v>73.9331080643771</v>
      </c>
      <c r="S106" s="67" t="n">
        <f aca="false">IF(S$5="A",Inputs_Actuals!S156,MIN(S105,S102*Assumptions!$C$83))</f>
        <v>79.3100322046495</v>
      </c>
      <c r="T106" s="67" t="n">
        <f aca="false">IF(T$5="A",Inputs_Actuals!T156,MIN(T105,T102*Assumptions!$C$83))</f>
        <v>77.8218814776519</v>
      </c>
      <c r="U106" s="67" t="n">
        <f aca="false">IF(U$5="A",Inputs_Actuals!U156,MIN(U105,U102*Assumptions!$C$83))</f>
        <v>59.3128897919334</v>
      </c>
      <c r="V106" s="67" t="n">
        <f aca="false">IF(V$5="A",Inputs_Actuals!V156,MIN(V105,V102*Assumptions!$C$83))</f>
        <v>78.9239661778107</v>
      </c>
      <c r="W106" s="67" t="n">
        <f aca="false">IF(W$5="A",Inputs_Actuals!W156,MIN(W105,W102*Assumptions!$C$83))</f>
        <v>76.4446793638526</v>
      </c>
      <c r="X106" s="67" t="n">
        <f aca="false">IF(X$5="A",Inputs_Actuals!X156,MIN(X105,X102*Assumptions!$C$83))</f>
        <v>66.9407462702038</v>
      </c>
      <c r="Y106" s="67" t="n">
        <f aca="false">IF(Y$5="A",Inputs_Actuals!Y156,MIN(Y105,Y102*Assumptions!$C$83))</f>
        <v>78.9239662802028</v>
      </c>
      <c r="Z106" s="67" t="n">
        <f aca="false">IF(Z$5="A",Inputs_Actuals!Z156,MIN(Z105,Z102*Assumptions!$C$83))</f>
        <v>71.8993200663929</v>
      </c>
      <c r="AA106" s="67" t="n">
        <f aca="false">IF(AA$5="A",Inputs_Actuals!AA156,MIN(AA105,AA102*Assumptions!$C$83))</f>
        <v>75.2050359314444</v>
      </c>
      <c r="AB106" s="67" t="n">
        <f aca="false">IF(AB$5="A",Inputs_Actuals!AB156,MIN(AB105,AB102*Assumptions!$C$83))</f>
        <v>81.4032531785494</v>
      </c>
    </row>
    <row r="107" customFormat="false" ht="15" hidden="false" customHeight="false" outlineLevel="0" collapsed="false">
      <c r="A107" s="29" t="s">
        <v>1007</v>
      </c>
      <c r="B107" s="60" t="s">
        <v>999</v>
      </c>
      <c r="C107" s="66" t="n">
        <f aca="false">SUM(E107:P107)</f>
        <v>0.54</v>
      </c>
      <c r="D107" s="66" t="n">
        <f aca="false">SUM(Q107:AB107)</f>
        <v>0</v>
      </c>
      <c r="E107" s="67" t="n">
        <f aca="false">IF(E$5="A",Inputs_Actuals!E157,E105-E106)</f>
        <v>0.076</v>
      </c>
      <c r="F107" s="67" t="n">
        <f aca="false">IF(F$5="A",Inputs_Actuals!F157,F105-F106)</f>
        <v>0.096</v>
      </c>
      <c r="G107" s="67" t="n">
        <f aca="false">IF(G$5="A",Inputs_Actuals!G157,G105-G106)</f>
        <v>0.0935</v>
      </c>
      <c r="H107" s="67" t="n">
        <f aca="false">IF(H$5="A",Inputs_Actuals!H157,H105-H106)</f>
        <v>0.0445</v>
      </c>
      <c r="I107" s="67" t="n">
        <f aca="false">IF(I$5="A",Inputs_Actuals!I157,I105-I106)</f>
        <v>0.0485</v>
      </c>
      <c r="J107" s="67" t="n">
        <f aca="false">IF(J$5="A",Inputs_Actuals!J157,J105-J106)</f>
        <v>0.096</v>
      </c>
      <c r="K107" s="67" t="n">
        <f aca="false">IF(K$5="A",Inputs_Actuals!K157,K105-K106)</f>
        <v>0.027</v>
      </c>
      <c r="L107" s="67" t="n">
        <f aca="false">IF(L$5="A",Inputs_Actuals!L157,L105-L106)</f>
        <v>0.0585</v>
      </c>
      <c r="M107" s="67" t="n">
        <f aca="false">IF(M$5="A",Inputs_Actuals!M157,M105-M106)</f>
        <v>0</v>
      </c>
      <c r="N107" s="67" t="n">
        <f aca="false">IF(N$5="A",Inputs_Actuals!N157,N105-N106)</f>
        <v>0</v>
      </c>
      <c r="O107" s="67" t="n">
        <f aca="false">IF(O$5="A",Inputs_Actuals!O157,O105-O106)</f>
        <v>0</v>
      </c>
      <c r="P107" s="67" t="n">
        <f aca="false">IF(P$5="A",Inputs_Actuals!P157,P105-P106)</f>
        <v>0</v>
      </c>
      <c r="Q107" s="67" t="n">
        <f aca="false">IF(Q$5="A",Inputs_Actuals!Q157,Q105-Q106)</f>
        <v>0</v>
      </c>
      <c r="R107" s="67" t="n">
        <f aca="false">IF(R$5="A",Inputs_Actuals!R157,R105-R106)</f>
        <v>0</v>
      </c>
      <c r="S107" s="67" t="n">
        <f aca="false">IF(S$5="A",Inputs_Actuals!S157,S105-S106)</f>
        <v>0</v>
      </c>
      <c r="T107" s="67" t="n">
        <f aca="false">IF(T$5="A",Inputs_Actuals!T157,T105-T106)</f>
        <v>0</v>
      </c>
      <c r="U107" s="67" t="n">
        <f aca="false">IF(U$5="A",Inputs_Actuals!U157,U105-U106)</f>
        <v>0</v>
      </c>
      <c r="V107" s="67" t="n">
        <f aca="false">IF(V$5="A",Inputs_Actuals!V157,V105-V106)</f>
        <v>0</v>
      </c>
      <c r="W107" s="67" t="n">
        <f aca="false">IF(W$5="A",Inputs_Actuals!W157,W105-W106)</f>
        <v>0</v>
      </c>
      <c r="X107" s="67" t="n">
        <f aca="false">IF(X$5="A",Inputs_Actuals!X157,X105-X106)</f>
        <v>0</v>
      </c>
      <c r="Y107" s="67" t="n">
        <f aca="false">IF(Y$5="A",Inputs_Actuals!Y157,Y105-Y106)</f>
        <v>0</v>
      </c>
      <c r="Z107" s="67" t="n">
        <f aca="false">IF(Z$5="A",Inputs_Actuals!Z157,Z105-Z106)</f>
        <v>0</v>
      </c>
      <c r="AA107" s="67" t="n">
        <f aca="false">IF(AA$5="A",Inputs_Actuals!AA157,AA105-AA106)</f>
        <v>0</v>
      </c>
      <c r="AB107" s="67" t="n">
        <f aca="false">IF(AB$5="A",Inputs_Actuals!AB157,AB105-AB106)</f>
        <v>0</v>
      </c>
    </row>
    <row r="108" customFormat="false" ht="15" hidden="false" customHeight="false" outlineLevel="0" collapsed="false">
      <c r="A108" s="29" t="s">
        <v>1008</v>
      </c>
      <c r="B108" s="60" t="s">
        <v>1001</v>
      </c>
      <c r="C108" s="63" t="n">
        <f aca="false">IF(C102=0,0,C106/C102)</f>
        <v>0.467531755320618</v>
      </c>
      <c r="D108" s="63" t="n">
        <f aca="false">IF(D102=0,0,D106/D102)</f>
        <v>0.535774324264545</v>
      </c>
      <c r="E108" s="64" t="n">
        <f aca="false">IF(E102=0,0,E106/E102)</f>
        <v>0.3875</v>
      </c>
      <c r="F108" s="64" t="n">
        <f aca="false">IF(F102=0,0,F106/F102)</f>
        <v>0.357575757575758</v>
      </c>
      <c r="G108" s="64" t="n">
        <f aca="false">IF(G102=0,0,G106/G102)</f>
        <v>0.451871657754011</v>
      </c>
      <c r="H108" s="64" t="n">
        <f aca="false">IF(H102=0,0,H106/H102)</f>
        <v>0.335606060606061</v>
      </c>
      <c r="I108" s="64" t="n">
        <f aca="false">IF(I102=0,0,I106/I102)</f>
        <v>0.408687943262411</v>
      </c>
      <c r="J108" s="64" t="n">
        <f aca="false">IF(J102=0,0,J106/J102)</f>
        <v>0.374309392265193</v>
      </c>
      <c r="K108" s="64" t="n">
        <f aca="false">IF(K102=0,0,K106/K102)</f>
        <v>0.477564102564103</v>
      </c>
      <c r="L108" s="64" t="n">
        <f aca="false">IF(L102=0,0,L106/L102)</f>
        <v>0.458059210526316</v>
      </c>
      <c r="M108" s="64" t="n">
        <f aca="false">IF(M102=0,0,M106/M102)</f>
        <v>0.575323657294703</v>
      </c>
      <c r="N108" s="64" t="n">
        <f aca="false">IF(N102=0,0,N106/N102)</f>
        <v>0.578472980501486</v>
      </c>
      <c r="O108" s="64" t="n">
        <f aca="false">IF(O102=0,0,O106/O102)</f>
        <v>0.578265288280924</v>
      </c>
      <c r="P108" s="64" t="n">
        <f aca="false">IF(P102=0,0,P106/P102)</f>
        <v>0.578260127620293</v>
      </c>
      <c r="Q108" s="64" t="n">
        <f aca="false">IF(Q102=0,0,Q106/Q102)</f>
        <v>0.578256716167782</v>
      </c>
      <c r="R108" s="64" t="n">
        <f aca="false">IF(R102=0,0,R106/R102)</f>
        <v>0.567100140708998</v>
      </c>
      <c r="S108" s="64" t="n">
        <f aca="false">IF(S102=0,0,S106/S102)</f>
        <v>0.567100178561782</v>
      </c>
      <c r="T108" s="64" t="n">
        <f aca="false">IF(T102=0,0,T106/T102)</f>
        <v>0.532396283456181</v>
      </c>
      <c r="U108" s="64" t="n">
        <f aca="false">IF(U102=0,0,U106/U102)</f>
        <v>0.532396287040942</v>
      </c>
      <c r="V108" s="64" t="n">
        <f aca="false">IF(V102=0,0,V106/V102)</f>
        <v>0.522974580284335</v>
      </c>
      <c r="W108" s="64" t="n">
        <f aca="false">IF(W102=0,0,W106/W102)</f>
        <v>0.522974580234306</v>
      </c>
      <c r="X108" s="64" t="n">
        <f aca="false">IF(X102=0,0,X106/X102)</f>
        <v>0.522974580222798</v>
      </c>
      <c r="Y108" s="64" t="n">
        <f aca="false">IF(Y102=0,0,Y106/Y102)</f>
        <v>0.52297458022359</v>
      </c>
      <c r="Z108" s="64" t="n">
        <f aca="false">IF(Z102=0,0,Z106/Z102)</f>
        <v>0.522974580223843</v>
      </c>
      <c r="AA108" s="64" t="n">
        <f aca="false">IF(AA102=0,0,AA106/AA102)</f>
        <v>0.522974580223887</v>
      </c>
      <c r="AB108" s="64" t="n">
        <f aca="false">IF(AB102=0,0,AB106/AB102)</f>
        <v>0.522974580223882</v>
      </c>
    </row>
    <row r="109" customFormat="false" ht="15" hidden="false" customHeight="false" outlineLevel="0" collapsed="false">
      <c r="A109" s="29" t="s">
        <v>1009</v>
      </c>
      <c r="B109" s="60" t="s">
        <v>989</v>
      </c>
      <c r="C109" s="66" t="n">
        <f aca="false">SUM(E109:P109)</f>
        <v>3337.99158477623</v>
      </c>
      <c r="D109" s="66" t="n">
        <f aca="false">SUM(Q109:AB109)</f>
        <v>4113.6484688474</v>
      </c>
      <c r="E109" s="67" t="n">
        <f aca="false">(People!E94)*Assumptions!E$200</f>
        <v>272</v>
      </c>
      <c r="F109" s="67" t="n">
        <f aca="false">(People!F94)*Assumptions!F$200</f>
        <v>264</v>
      </c>
      <c r="G109" s="67" t="n">
        <f aca="false">(People!G94)*Assumptions!G$200</f>
        <v>299.2</v>
      </c>
      <c r="H109" s="67" t="n">
        <f aca="false">(People!H94)*Assumptions!H$200</f>
        <v>264</v>
      </c>
      <c r="I109" s="67" t="n">
        <f aca="false">(People!I94)*Assumptions!I$200</f>
        <v>225.6</v>
      </c>
      <c r="J109" s="67" t="n">
        <f aca="false">(People!J94)*Assumptions!J$200</f>
        <v>289.6</v>
      </c>
      <c r="K109" s="67" t="n">
        <f aca="false">(People!K94)*Assumptions!K$200</f>
        <v>312</v>
      </c>
      <c r="L109" s="67" t="n">
        <f aca="false">(People!L94)*Assumptions!L$200</f>
        <v>243.2</v>
      </c>
      <c r="M109" s="67" t="n">
        <f aca="false">(People!M94)*Assumptions!M$200</f>
        <v>303.053333333333</v>
      </c>
      <c r="N109" s="67" t="n">
        <f aca="false">(People!N94)*Assumptions!N$200</f>
        <v>289.513777777778</v>
      </c>
      <c r="O109" s="67" t="n">
        <f aca="false">(People!O94)*Assumptions!O$200</f>
        <v>283.980498148148</v>
      </c>
      <c r="P109" s="67" t="n">
        <f aca="false">(People!P94)*Assumptions!P$200</f>
        <v>291.843975516975</v>
      </c>
      <c r="Q109" s="67" t="n">
        <f aca="false">(People!Q94)*Assumptions!Q$200</f>
        <v>249.740746903292</v>
      </c>
      <c r="R109" s="67" t="n">
        <f aca="false">(People!R94)*Assumptions!R$200</f>
        <v>257.562421811431</v>
      </c>
      <c r="S109" s="67" t="n">
        <f aca="false">(People!S94)*Assumptions!S$200</f>
        <v>276.293272655177</v>
      </c>
      <c r="T109" s="67" t="n">
        <f aca="false">(People!T94)*Assumptions!T$200</f>
        <v>384.980617065848</v>
      </c>
      <c r="U109" s="67" t="n">
        <f aca="false">(People!U94)*Assumptions!U$200</f>
        <v>292.806545941056</v>
      </c>
      <c r="V109" s="67" t="n">
        <f aca="false">(People!V94)*Assumptions!V$200</f>
        <v>395.817899106797</v>
      </c>
      <c r="W109" s="67" t="n">
        <f aca="false">(People!W94)*Assumptions!W$200</f>
        <v>382.59547293787</v>
      </c>
      <c r="X109" s="67" t="n">
        <f aca="false">(People!X94)*Assumptions!X$200</f>
        <v>335.046954381122</v>
      </c>
      <c r="Y109" s="67" t="n">
        <f aca="false">(People!Y94)*Assumptions!Y$200</f>
        <v>395.037946921107</v>
      </c>
      <c r="Z109" s="67" t="n">
        <f aca="false">(People!Z94)*Assumptions!Z$200</f>
        <v>359.883422486607</v>
      </c>
      <c r="AA109" s="67" t="n">
        <f aca="false">(People!AA94)*Assumptions!AA$200</f>
        <v>376.429465366252</v>
      </c>
      <c r="AB109" s="67" t="n">
        <f aca="false">(People!AB94)*Assumptions!AB$200</f>
        <v>407.453703270845</v>
      </c>
    </row>
    <row r="110" customFormat="false" ht="15" hidden="false" customHeight="false" outlineLevel="0" collapsed="false">
      <c r="A110" s="29" t="s">
        <v>1010</v>
      </c>
      <c r="B110" s="60" t="s">
        <v>991</v>
      </c>
      <c r="C110" s="66" t="n">
        <f aca="false">SUM(E110:P110)</f>
        <v>2916.79340510796</v>
      </c>
      <c r="D110" s="66" t="n">
        <f aca="false">SUM(Q110:AB110)</f>
        <v>1953.57304489204</v>
      </c>
      <c r="E110" s="67" t="n">
        <f aca="false">IF(E$5="A",Inputs_Actuals!E158+Inputs_Actuals!E159,SUMPRODUCT((Engagement_Register!$C$7:$C$39="DIG")*Engagement_Register!$AA$7:$AA$39*Engagements!$E$9:$E$41))</f>
        <v>215.613</v>
      </c>
      <c r="F110" s="67" t="n">
        <f aca="false">IF(F$5="A",Inputs_Actuals!F158+Inputs_Actuals!F159,SUMPRODUCT((Engagement_Register!$C$7:$C$39="DIG")*Engagement_Register!$AA$7:$AA$39*Engagements!$F$9:$F$41))</f>
        <v>191.633</v>
      </c>
      <c r="G110" s="67" t="n">
        <f aca="false">IF(G$5="A",Inputs_Actuals!G158+Inputs_Actuals!G159,SUMPRODUCT((Engagement_Register!$C$7:$C$39="DIG")*Engagement_Register!$AA$7:$AA$39*Engagements!$G$9:$G$41))</f>
        <v>261.038</v>
      </c>
      <c r="H110" s="67" t="n">
        <f aca="false">IF(H$5="A",Inputs_Actuals!H158+Inputs_Actuals!H159,SUMPRODUCT((Engagement_Register!$C$7:$C$39="DIG")*Engagement_Register!$AA$7:$AA$39*Engagements!$H$9:$H$41))</f>
        <v>181.224</v>
      </c>
      <c r="I110" s="67" t="n">
        <f aca="false">IF(I$5="A",Inputs_Actuals!I158+Inputs_Actuals!I159,SUMPRODUCT((Engagement_Register!$C$7:$C$39="DIG")*Engagement_Register!$AA$7:$AA$39*Engagements!$I$9:$I$41))</f>
        <v>191.682</v>
      </c>
      <c r="J110" s="67" t="n">
        <f aca="false">IF(J$5="A",Inputs_Actuals!J158+Inputs_Actuals!J159,SUMPRODUCT((Engagement_Register!$C$7:$C$39="DIG")*Engagement_Register!$AA$7:$AA$39*Engagements!$J$9:$J$41))</f>
        <v>222.687</v>
      </c>
      <c r="K110" s="67" t="n">
        <f aca="false">IF(K$5="A",Inputs_Actuals!K158+Inputs_Actuals!K159,SUMPRODUCT((Engagement_Register!$C$7:$C$39="DIG")*Engagement_Register!$AA$7:$AA$39*Engagements!$K$9:$K$41))</f>
        <v>284.682</v>
      </c>
      <c r="L110" s="67" t="n">
        <f aca="false">IF(L$5="A",Inputs_Actuals!L158+Inputs_Actuals!L159,SUMPRODUCT((Engagement_Register!$C$7:$C$39="DIG")*Engagement_Register!$AA$7:$AA$39*Engagements!$L$9:$L$41))</f>
        <v>210.069</v>
      </c>
      <c r="M110" s="67" t="n">
        <f aca="false">IF(M$5="A",Inputs_Actuals!M158+Inputs_Actuals!M159,SUMPRODUCT((Engagement_Register!$C$7:$C$39="DIG")*Engagement_Register!$AA$7:$AA$39*Engagements!$M$9:$M$41))</f>
        <v>315.689015832424</v>
      </c>
      <c r="N110" s="67" t="n">
        <f aca="false">IF(N$5="A",Inputs_Actuals!N158+Inputs_Actuals!N159,SUMPRODUCT((Engagement_Register!$C$7:$C$39="DIG")*Engagement_Register!$AA$7:$AA$39*Engagements!$N$9:$N$41))</f>
        <v>304.376545905784</v>
      </c>
      <c r="O110" s="67" t="n">
        <f aca="false">IF(O$5="A",Inputs_Actuals!O158+Inputs_Actuals!O159,SUMPRODUCT((Engagement_Register!$C$7:$C$39="DIG")*Engagement_Register!$AA$7:$AA$39*Engagements!$O$9:$O$41))</f>
        <v>265.404258789417</v>
      </c>
      <c r="P110" s="67" t="n">
        <f aca="false">IF(P$5="A",Inputs_Actuals!P158+Inputs_Actuals!P159,SUMPRODUCT((Engagement_Register!$C$7:$C$39="DIG")*Engagement_Register!$AA$7:$AA$39*Engagements!$P$9:$P$41))</f>
        <v>272.695584580335</v>
      </c>
      <c r="Q110" s="67" t="n">
        <f aca="false">IF(Q$5="A",Inputs_Actuals!Q158+Inputs_Actuals!Q159,SUMPRODUCT((Engagement_Register!$C$7:$C$39="DIG")*Engagement_Register!$AA$7:$AA$39*Engagements!$Q$9:$Q$41))</f>
        <v>233.322425309377</v>
      </c>
      <c r="R110" s="67" t="n">
        <f aca="false">IF(R$5="A",Inputs_Actuals!R158+Inputs_Actuals!R159,SUMPRODUCT((Engagement_Register!$C$7:$C$39="DIG")*Engagement_Register!$AA$7:$AA$39*Engagements!$R$9:$R$41))</f>
        <v>223.344303543795</v>
      </c>
      <c r="S110" s="67" t="n">
        <f aca="false">IF(S$5="A",Inputs_Actuals!S158+Inputs_Actuals!S159,SUMPRODUCT((Engagement_Register!$C$7:$C$39="DIG")*Engagement_Register!$AA$7:$AA$39*Engagements!$S$9:$S$41))</f>
        <v>239.587525619708</v>
      </c>
      <c r="T110" s="67" t="n">
        <f aca="false">IF(T$5="A",Inputs_Actuals!T158+Inputs_Actuals!T159,SUMPRODUCT((Engagement_Register!$C$7:$C$39="DIG")*Engagement_Register!$AA$7:$AA$39*Engagements!$T$9:$T$41))</f>
        <v>157.692840959871</v>
      </c>
      <c r="U110" s="67" t="n">
        <f aca="false">IF(U$5="A",Inputs_Actuals!U158+Inputs_Actuals!U159,SUMPRODUCT((Engagement_Register!$C$7:$C$39="DIG")*Engagement_Register!$AA$7:$AA$39*Engagements!$U$9:$U$41))</f>
        <v>120.187516623469</v>
      </c>
      <c r="V110" s="67" t="n">
        <f aca="false">IF(V$5="A",Inputs_Actuals!V158+Inputs_Actuals!V159,SUMPRODUCT((Engagement_Register!$C$7:$C$39="DIG")*Engagement_Register!$AA$7:$AA$39*Engagements!$V$9:$V$41))</f>
        <v>145.922574626866</v>
      </c>
      <c r="W110" s="67" t="n">
        <f aca="false">IF(W$5="A",Inputs_Actuals!W158+Inputs_Actuals!W159,SUMPRODUCT((Engagement_Register!$C$7:$C$39="DIG")*Engagement_Register!$AA$7:$AA$39*Engagements!$W$9:$W$41))</f>
        <v>141.338619402985</v>
      </c>
      <c r="X110" s="67" t="n">
        <f aca="false">IF(X$5="A",Inputs_Actuals!X158+Inputs_Actuals!X159,SUMPRODUCT((Engagement_Register!$C$7:$C$39="DIG")*Engagement_Register!$AA$7:$AA$39*Engagements!$X$9:$X$41))</f>
        <v>123.766791044776</v>
      </c>
      <c r="Y110" s="67" t="n">
        <f aca="false">IF(Y$5="A",Inputs_Actuals!Y158+Inputs_Actuals!Y159,SUMPRODUCT((Engagement_Register!$C$7:$C$39="DIG")*Engagement_Register!$AA$7:$AA$39*Engagements!$Y$9:$Y$41))</f>
        <v>145.922574626866</v>
      </c>
      <c r="Z110" s="67" t="n">
        <f aca="false">IF(Z$5="A",Inputs_Actuals!Z158+Inputs_Actuals!Z159,SUMPRODUCT((Engagement_Register!$C$7:$C$39="DIG")*Engagement_Register!$AA$7:$AA$39*Engagements!$Z$9:$Z$41))</f>
        <v>132.934701492537</v>
      </c>
      <c r="AA110" s="67" t="n">
        <f aca="false">IF(AA$5="A",Inputs_Actuals!AA158+Inputs_Actuals!AA159,SUMPRODUCT((Engagement_Register!$C$7:$C$39="DIG")*Engagement_Register!$AA$7:$AA$39*Engagements!$AA$9:$AA$41))</f>
        <v>139.046641791045</v>
      </c>
      <c r="AB110" s="67" t="n">
        <f aca="false">IF(AB$5="A",Inputs_Actuals!AB158+Inputs_Actuals!AB159,SUMPRODUCT((Engagement_Register!$C$7:$C$39="DIG")*Engagement_Register!$AA$7:$AA$39*Engagements!$AB$9:$AB$41))</f>
        <v>150.506529850746</v>
      </c>
    </row>
    <row r="111" customFormat="false" ht="15" hidden="false" customHeight="false" outlineLevel="0" collapsed="false">
      <c r="A111" s="29" t="s">
        <v>1011</v>
      </c>
      <c r="B111" s="60" t="s">
        <v>993</v>
      </c>
      <c r="C111" s="66" t="n">
        <f aca="false">SUM(E111:P111)</f>
        <v>0</v>
      </c>
      <c r="D111" s="66" t="n">
        <f aca="false">SUM(Q111:AB111)</f>
        <v>992.176184151172</v>
      </c>
      <c r="E111" s="72" t="n">
        <f aca="false">0</f>
        <v>0</v>
      </c>
      <c r="F111" s="72" t="n">
        <f aca="false">0</f>
        <v>0</v>
      </c>
      <c r="G111" s="72" t="n">
        <f aca="false">0</f>
        <v>0</v>
      </c>
      <c r="H111" s="72" t="n">
        <f aca="false">0</f>
        <v>0</v>
      </c>
      <c r="I111" s="72" t="n">
        <f aca="false">0</f>
        <v>0</v>
      </c>
      <c r="J111" s="72" t="n">
        <f aca="false">0</f>
        <v>0</v>
      </c>
      <c r="K111" s="72" t="n">
        <f aca="false">0</f>
        <v>0</v>
      </c>
      <c r="L111" s="72" t="n">
        <f aca="false">0</f>
        <v>0</v>
      </c>
      <c r="M111" s="67" t="n">
        <f aca="false">IF(Assumptions!M$186&gt;=Assumptions!$C$152,MAX(0,Assumptions!$F$66*M109-M110)*Assumptions!$F$168,0)</f>
        <v>0</v>
      </c>
      <c r="N111" s="67" t="n">
        <f aca="false">IF(Assumptions!N$186&gt;=Assumptions!$C$152,MAX(0,Assumptions!$F$66*N109-N110)*Assumptions!$F$168,0)</f>
        <v>0</v>
      </c>
      <c r="O111" s="67" t="n">
        <f aca="false">IF(Assumptions!O$186&gt;=Assumptions!$C$152,MAX(0,Assumptions!$F$66*O109-O110)*Assumptions!$F$168,0)</f>
        <v>0</v>
      </c>
      <c r="P111" s="67" t="n">
        <f aca="false">IF(Assumptions!P$186&gt;=Assumptions!$C$152,MAX(0,Assumptions!$F$66*P109-P110)*Assumptions!$F$168,0)</f>
        <v>0</v>
      </c>
      <c r="Q111" s="67" t="n">
        <f aca="false">IF(Assumptions!Q$186&gt;=Assumptions!$C$152,MAX(0,Assumptions!$F$66*Q109-Q110)*Assumptions!$F$168,0)</f>
        <v>0</v>
      </c>
      <c r="R111" s="67" t="n">
        <f aca="false">IF(Assumptions!R$186&gt;=Assumptions!$C$152,MAX(0,Assumptions!$F$66*R109-R110)*Assumptions!$F$168,0)</f>
        <v>0</v>
      </c>
      <c r="S111" s="67" t="n">
        <f aca="false">IF(Assumptions!S$186&gt;=Assumptions!$C$152,MAX(0,Assumptions!$F$66*S109-S110)*Assumptions!$F$168,0)</f>
        <v>0</v>
      </c>
      <c r="T111" s="67" t="n">
        <f aca="false">IF(Assumptions!T$186&gt;=Assumptions!$C$152,MAX(0,Assumptions!$F$66*T109-T110)*Assumptions!$F$168,0)</f>
        <v>104.834097471612</v>
      </c>
      <c r="U111" s="67" t="n">
        <f aca="false">IF(Assumptions!U$186&gt;=Assumptions!$C$152,MAX(0,Assumptions!$F$66*U109-U110)*Assumptions!$F$168,0)</f>
        <v>79.5339142658579</v>
      </c>
      <c r="V111" s="67" t="n">
        <f aca="false">IF(Assumptions!V$186&gt;=Assumptions!$C$152,MAX(0,Assumptions!$F$66*V109-V110)*Assumptions!$F$168,0)</f>
        <v>120.752679762586</v>
      </c>
      <c r="W111" s="67" t="n">
        <f aca="false">IF(Assumptions!W$186&gt;=Assumptions!$C$152,MAX(0,Assumptions!$F$66*W109-W110)*Assumptions!$F$168,0)</f>
        <v>116.486388240334</v>
      </c>
      <c r="X111" s="67" t="n">
        <f aca="false">IF(Assumptions!X$186&gt;=Assumptions!$C$152,MAX(0,Assumptions!$F$66*X109-X110)*Assumptions!$F$168,0)</f>
        <v>102.014739792853</v>
      </c>
      <c r="Y111" s="67" t="n">
        <f aca="false">IF(Assumptions!Y$186&gt;=Assumptions!$C$152,MAX(0,Assumptions!$F$66*Y109-Y110)*Assumptions!$F$168,0)</f>
        <v>120.284708451172</v>
      </c>
      <c r="Z111" s="67" t="n">
        <f aca="false">IF(Assumptions!Z$186&gt;=Assumptions!$C$152,MAX(0,Assumptions!$F$66*Z109-Z110)*Assumptions!$F$168,0)</f>
        <v>109.582292297934</v>
      </c>
      <c r="AA111" s="67" t="n">
        <f aca="false">IF(Assumptions!AA$186&gt;=Assumptions!$C$152,MAX(0,Assumptions!$F$66*AA109-AA110)*Assumptions!$F$168,0)</f>
        <v>114.620365786915</v>
      </c>
      <c r="AB111" s="67" t="n">
        <f aca="false">IF(Assumptions!AB$186&gt;=Assumptions!$C$152,MAX(0,Assumptions!$F$66*AB109-AB110)*Assumptions!$F$168,0)</f>
        <v>124.06699808191</v>
      </c>
    </row>
    <row r="112" customFormat="false" ht="15" hidden="false" customHeight="false" outlineLevel="0" collapsed="false">
      <c r="A112" s="29" t="s">
        <v>1012</v>
      </c>
      <c r="B112" s="60" t="s">
        <v>995</v>
      </c>
      <c r="C112" s="66" t="n">
        <f aca="false">SUM(E112:P112)</f>
        <v>2916.79340510796</v>
      </c>
      <c r="D112" s="66" t="n">
        <f aca="false">SUM(Q112:AB112)</f>
        <v>2945.74922904321</v>
      </c>
      <c r="E112" s="72" t="n">
        <f aca="false">E110+E111</f>
        <v>215.613</v>
      </c>
      <c r="F112" s="72" t="n">
        <f aca="false">F110+F111</f>
        <v>191.633</v>
      </c>
      <c r="G112" s="72" t="n">
        <f aca="false">G110+G111</f>
        <v>261.038</v>
      </c>
      <c r="H112" s="72" t="n">
        <f aca="false">H110+H111</f>
        <v>181.224</v>
      </c>
      <c r="I112" s="72" t="n">
        <f aca="false">I110+I111</f>
        <v>191.682</v>
      </c>
      <c r="J112" s="72" t="n">
        <f aca="false">J110+J111</f>
        <v>222.687</v>
      </c>
      <c r="K112" s="72" t="n">
        <f aca="false">K110+K111</f>
        <v>284.682</v>
      </c>
      <c r="L112" s="72" t="n">
        <f aca="false">L110+L111</f>
        <v>210.069</v>
      </c>
      <c r="M112" s="72" t="n">
        <f aca="false">M110+M111</f>
        <v>315.689015832424</v>
      </c>
      <c r="N112" s="72" t="n">
        <f aca="false">N110+N111</f>
        <v>304.376545905784</v>
      </c>
      <c r="O112" s="72" t="n">
        <f aca="false">O110+O111</f>
        <v>265.404258789417</v>
      </c>
      <c r="P112" s="72" t="n">
        <f aca="false">P110+P111</f>
        <v>272.695584580335</v>
      </c>
      <c r="Q112" s="72" t="n">
        <f aca="false">Q110+Q111</f>
        <v>233.322425309377</v>
      </c>
      <c r="R112" s="72" t="n">
        <f aca="false">R110+R111</f>
        <v>223.344303543795</v>
      </c>
      <c r="S112" s="72" t="n">
        <f aca="false">S110+S111</f>
        <v>239.587525619708</v>
      </c>
      <c r="T112" s="72" t="n">
        <f aca="false">T110+T111</f>
        <v>262.526938431483</v>
      </c>
      <c r="U112" s="72" t="n">
        <f aca="false">U110+U111</f>
        <v>199.721430889327</v>
      </c>
      <c r="V112" s="72" t="n">
        <f aca="false">V110+V111</f>
        <v>266.675254389451</v>
      </c>
      <c r="W112" s="72" t="n">
        <f aca="false">W110+W111</f>
        <v>257.825007643319</v>
      </c>
      <c r="X112" s="72" t="n">
        <f aca="false">X110+X111</f>
        <v>225.781530837629</v>
      </c>
      <c r="Y112" s="72" t="n">
        <f aca="false">Y110+Y111</f>
        <v>266.207283078037</v>
      </c>
      <c r="Z112" s="72" t="n">
        <f aca="false">Z110+Z111</f>
        <v>242.516993790471</v>
      </c>
      <c r="AA112" s="72" t="n">
        <f aca="false">AA110+AA111</f>
        <v>253.66700757796</v>
      </c>
      <c r="AB112" s="72" t="n">
        <f aca="false">AB110+AB111</f>
        <v>274.573527932656</v>
      </c>
    </row>
    <row r="113" customFormat="false" ht="15" hidden="false" customHeight="false" outlineLevel="0" collapsed="false">
      <c r="A113" s="29" t="s">
        <v>1013</v>
      </c>
      <c r="B113" s="60" t="s">
        <v>997</v>
      </c>
      <c r="C113" s="66" t="n">
        <f aca="false">SUM(E113:P113)</f>
        <v>2808.95242629861</v>
      </c>
      <c r="D113" s="66" t="n">
        <f aca="false">SUM(Q113:AB113)</f>
        <v>2937.1934759468</v>
      </c>
      <c r="E113" s="67" t="n">
        <f aca="false">IF(E$5="A",Inputs_Actuals!E158,MIN(E112,E109*Assumptions!$C$83))</f>
        <v>215.6</v>
      </c>
      <c r="F113" s="67" t="n">
        <f aca="false">IF(F$5="A",Inputs_Actuals!F158,MIN(F112,F109*Assumptions!$C$83))</f>
        <v>191.6</v>
      </c>
      <c r="G113" s="67" t="n">
        <f aca="false">IF(G$5="A",Inputs_Actuals!G158,MIN(G112,G109*Assumptions!$C$83))</f>
        <v>261</v>
      </c>
      <c r="H113" s="67" t="n">
        <f aca="false">IF(H$5="A",Inputs_Actuals!H158,MIN(H112,H109*Assumptions!$C$83))</f>
        <v>181.2</v>
      </c>
      <c r="I113" s="67" t="n">
        <f aca="false">IF(I$5="A",Inputs_Actuals!I158,MIN(I112,I109*Assumptions!$C$83))</f>
        <v>191.6</v>
      </c>
      <c r="J113" s="67" t="n">
        <f aca="false">IF(J$5="A",Inputs_Actuals!J158,MIN(J112,J109*Assumptions!$C$83))</f>
        <v>222.6</v>
      </c>
      <c r="K113" s="67" t="n">
        <f aca="false">IF(K$5="A",Inputs_Actuals!K158,MIN(K112,K109*Assumptions!$C$83))</f>
        <v>283.8</v>
      </c>
      <c r="L113" s="67" t="n">
        <f aca="false">IF(L$5="A",Inputs_Actuals!L158,MIN(L112,L109*Assumptions!$C$83))</f>
        <v>210</v>
      </c>
      <c r="M113" s="67" t="n">
        <f aca="false">IF(M$5="A",Inputs_Actuals!M158,MIN(M112,M109*Assumptions!$C$83))</f>
        <v>272.748</v>
      </c>
      <c r="N113" s="67" t="n">
        <f aca="false">IF(N$5="A",Inputs_Actuals!N158,MIN(N112,N109*Assumptions!$C$83))</f>
        <v>260.5624</v>
      </c>
      <c r="O113" s="67" t="n">
        <f aca="false">IF(O$5="A",Inputs_Actuals!O158,MIN(O112,O109*Assumptions!$C$83))</f>
        <v>255.582448333333</v>
      </c>
      <c r="P113" s="67" t="n">
        <f aca="false">IF(P$5="A",Inputs_Actuals!P158,MIN(P112,P109*Assumptions!$C$83))</f>
        <v>262.659577965278</v>
      </c>
      <c r="Q113" s="67" t="n">
        <f aca="false">IF(Q$5="A",Inputs_Actuals!Q158,MIN(Q112,Q109*Assumptions!$C$83))</f>
        <v>224.766672212963</v>
      </c>
      <c r="R113" s="67" t="n">
        <f aca="false">IF(R$5="A",Inputs_Actuals!R158,MIN(R112,R109*Assumptions!$C$83))</f>
        <v>223.344303543795</v>
      </c>
      <c r="S113" s="67" t="n">
        <f aca="false">IF(S$5="A",Inputs_Actuals!S158,MIN(S112,S109*Assumptions!$C$83))</f>
        <v>239.587525619708</v>
      </c>
      <c r="T113" s="67" t="n">
        <f aca="false">IF(T$5="A",Inputs_Actuals!T158,MIN(T112,T109*Assumptions!$C$83))</f>
        <v>262.526938431483</v>
      </c>
      <c r="U113" s="67" t="n">
        <f aca="false">IF(U$5="A",Inputs_Actuals!U158,MIN(U112,U109*Assumptions!$C$83))</f>
        <v>199.721430889327</v>
      </c>
      <c r="V113" s="67" t="n">
        <f aca="false">IF(V$5="A",Inputs_Actuals!V158,MIN(V112,V109*Assumptions!$C$83))</f>
        <v>266.675254389451</v>
      </c>
      <c r="W113" s="67" t="n">
        <f aca="false">IF(W$5="A",Inputs_Actuals!W158,MIN(W112,W109*Assumptions!$C$83))</f>
        <v>257.825007643319</v>
      </c>
      <c r="X113" s="67" t="n">
        <f aca="false">IF(X$5="A",Inputs_Actuals!X158,MIN(X112,X109*Assumptions!$C$83))</f>
        <v>225.781530837629</v>
      </c>
      <c r="Y113" s="67" t="n">
        <f aca="false">IF(Y$5="A",Inputs_Actuals!Y158,MIN(Y112,Y109*Assumptions!$C$83))</f>
        <v>266.207283078037</v>
      </c>
      <c r="Z113" s="67" t="n">
        <f aca="false">IF(Z$5="A",Inputs_Actuals!Z158,MIN(Z112,Z109*Assumptions!$C$83))</f>
        <v>242.516993790471</v>
      </c>
      <c r="AA113" s="67" t="n">
        <f aca="false">IF(AA$5="A",Inputs_Actuals!AA158,MIN(AA112,AA109*Assumptions!$C$83))</f>
        <v>253.66700757796</v>
      </c>
      <c r="AB113" s="67" t="n">
        <f aca="false">IF(AB$5="A",Inputs_Actuals!AB158,MIN(AB112,AB109*Assumptions!$C$83))</f>
        <v>274.573527932656</v>
      </c>
    </row>
    <row r="114" customFormat="false" ht="15" hidden="false" customHeight="false" outlineLevel="0" collapsed="false">
      <c r="A114" s="29" t="s">
        <v>1014</v>
      </c>
      <c r="B114" s="60" t="s">
        <v>999</v>
      </c>
      <c r="C114" s="66" t="n">
        <f aca="false">SUM(E114:P114)</f>
        <v>107.840978809347</v>
      </c>
      <c r="D114" s="66" t="n">
        <f aca="false">SUM(Q114:AB114)</f>
        <v>8.55575309641412</v>
      </c>
      <c r="E114" s="67" t="n">
        <f aca="false">IF(E$5="A",Inputs_Actuals!E159,E112-E113)</f>
        <v>0.013</v>
      </c>
      <c r="F114" s="67" t="n">
        <f aca="false">IF(F$5="A",Inputs_Actuals!F159,F112-F113)</f>
        <v>0.033</v>
      </c>
      <c r="G114" s="67" t="n">
        <f aca="false">IF(G$5="A",Inputs_Actuals!G159,G112-G113)</f>
        <v>0.038</v>
      </c>
      <c r="H114" s="67" t="n">
        <f aca="false">IF(H$5="A",Inputs_Actuals!H159,H112-H113)</f>
        <v>0.024</v>
      </c>
      <c r="I114" s="67" t="n">
        <f aca="false">IF(I$5="A",Inputs_Actuals!I159,I112-I113)</f>
        <v>0.082</v>
      </c>
      <c r="J114" s="67" t="n">
        <f aca="false">IF(J$5="A",Inputs_Actuals!J159,J112-J113)</f>
        <v>0.087</v>
      </c>
      <c r="K114" s="67" t="n">
        <f aca="false">IF(K$5="A",Inputs_Actuals!K159,K112-K113)</f>
        <v>0.882</v>
      </c>
      <c r="L114" s="67" t="n">
        <f aca="false">IF(L$5="A",Inputs_Actuals!L159,L112-L113)</f>
        <v>0.069</v>
      </c>
      <c r="M114" s="67" t="n">
        <f aca="false">IF(M$5="A",Inputs_Actuals!M159,M112-M113)</f>
        <v>42.9410158324238</v>
      </c>
      <c r="N114" s="67" t="n">
        <f aca="false">IF(N$5="A",Inputs_Actuals!N159,N112-N113)</f>
        <v>43.8141459057837</v>
      </c>
      <c r="O114" s="67" t="n">
        <f aca="false">IF(O$5="A",Inputs_Actuals!O159,O112-O113)</f>
        <v>9.82181045608311</v>
      </c>
      <c r="P114" s="67" t="n">
        <f aca="false">IF(P$5="A",Inputs_Actuals!P159,P112-P113)</f>
        <v>10.0360066150567</v>
      </c>
      <c r="Q114" s="67" t="n">
        <f aca="false">IF(Q$5="A",Inputs_Actuals!Q159,Q112-Q113)</f>
        <v>8.55575309641412</v>
      </c>
      <c r="R114" s="67" t="n">
        <f aca="false">IF(R$5="A",Inputs_Actuals!R159,R112-R113)</f>
        <v>0</v>
      </c>
      <c r="S114" s="67" t="n">
        <f aca="false">IF(S$5="A",Inputs_Actuals!S159,S112-S113)</f>
        <v>0</v>
      </c>
      <c r="T114" s="67" t="n">
        <f aca="false">IF(T$5="A",Inputs_Actuals!T159,T112-T113)</f>
        <v>0</v>
      </c>
      <c r="U114" s="67" t="n">
        <f aca="false">IF(U$5="A",Inputs_Actuals!U159,U112-U113)</f>
        <v>0</v>
      </c>
      <c r="V114" s="67" t="n">
        <f aca="false">IF(V$5="A",Inputs_Actuals!V159,V112-V113)</f>
        <v>0</v>
      </c>
      <c r="W114" s="67" t="n">
        <f aca="false">IF(W$5="A",Inputs_Actuals!W159,W112-W113)</f>
        <v>0</v>
      </c>
      <c r="X114" s="67" t="n">
        <f aca="false">IF(X$5="A",Inputs_Actuals!X159,X112-X113)</f>
        <v>0</v>
      </c>
      <c r="Y114" s="67" t="n">
        <f aca="false">IF(Y$5="A",Inputs_Actuals!Y159,Y112-Y113)</f>
        <v>0</v>
      </c>
      <c r="Z114" s="67" t="n">
        <f aca="false">IF(Z$5="A",Inputs_Actuals!Z159,Z112-Z113)</f>
        <v>0</v>
      </c>
      <c r="AA114" s="67" t="n">
        <f aca="false">IF(AA$5="A",Inputs_Actuals!AA159,AA112-AA113)</f>
        <v>0</v>
      </c>
      <c r="AB114" s="67" t="n">
        <f aca="false">IF(AB$5="A",Inputs_Actuals!AB159,AB112-AB113)</f>
        <v>0</v>
      </c>
    </row>
    <row r="115" customFormat="false" ht="15" hidden="false" customHeight="false" outlineLevel="0" collapsed="false">
      <c r="A115" s="29" t="s">
        <v>1015</v>
      </c>
      <c r="B115" s="60" t="s">
        <v>1001</v>
      </c>
      <c r="C115" s="63" t="n">
        <f aca="false">IF(C109=0,0,C113/C109)</f>
        <v>0.841509738703225</v>
      </c>
      <c r="D115" s="63" t="n">
        <f aca="false">IF(D109=0,0,D113/D109)</f>
        <v>0.714011782530793</v>
      </c>
      <c r="E115" s="64" t="n">
        <f aca="false">IF(E109=0,0,E113/E109)</f>
        <v>0.792647058823529</v>
      </c>
      <c r="F115" s="64" t="n">
        <f aca="false">IF(F109=0,0,F113/F109)</f>
        <v>0.725757575757576</v>
      </c>
      <c r="G115" s="64" t="n">
        <f aca="false">IF(G109=0,0,G113/G109)</f>
        <v>0.872326203208556</v>
      </c>
      <c r="H115" s="64" t="n">
        <f aca="false">IF(H109=0,0,H113/H109)</f>
        <v>0.686363636363636</v>
      </c>
      <c r="I115" s="64" t="n">
        <f aca="false">IF(I109=0,0,I113/I109)</f>
        <v>0.849290780141844</v>
      </c>
      <c r="J115" s="64" t="n">
        <f aca="false">IF(J109=0,0,J113/J109)</f>
        <v>0.768646408839779</v>
      </c>
      <c r="K115" s="64" t="n">
        <f aca="false">IF(K109=0,0,K113/K109)</f>
        <v>0.909615384615385</v>
      </c>
      <c r="L115" s="64" t="n">
        <f aca="false">IF(L109=0,0,L113/L109)</f>
        <v>0.863486842105263</v>
      </c>
      <c r="M115" s="64" t="n">
        <f aca="false">IF(M109=0,0,M113/M109)</f>
        <v>0.9</v>
      </c>
      <c r="N115" s="64" t="n">
        <f aca="false">IF(N109=0,0,N113/N109)</f>
        <v>0.9</v>
      </c>
      <c r="O115" s="64" t="n">
        <f aca="false">IF(O109=0,0,O113/O109)</f>
        <v>0.9</v>
      </c>
      <c r="P115" s="64" t="n">
        <f aca="false">IF(P109=0,0,P113/P109)</f>
        <v>0.9</v>
      </c>
      <c r="Q115" s="64" t="n">
        <f aca="false">IF(Q109=0,0,Q113/Q109)</f>
        <v>0.9</v>
      </c>
      <c r="R115" s="64" t="n">
        <f aca="false">IF(R109=0,0,R113/R109)</f>
        <v>0.867146309516037</v>
      </c>
      <c r="S115" s="64" t="n">
        <f aca="false">IF(S109=0,0,S113/S109)</f>
        <v>0.867149327659239</v>
      </c>
      <c r="T115" s="64" t="n">
        <f aca="false">IF(T109=0,0,T113/T109)</f>
        <v>0.681922483350843</v>
      </c>
      <c r="U115" s="64" t="n">
        <f aca="false">IF(U109=0,0,U113/U109)</f>
        <v>0.682093462929387</v>
      </c>
      <c r="V115" s="64" t="n">
        <f aca="false">IF(V109=0,0,V113/V109)</f>
        <v>0.673732175809206</v>
      </c>
      <c r="W115" s="64" t="n">
        <f aca="false">IF(W109=0,0,W113/W109)</f>
        <v>0.673884104439436</v>
      </c>
      <c r="X115" s="64" t="n">
        <f aca="false">IF(X109=0,0,X113/X109)</f>
        <v>0.673880266288879</v>
      </c>
      <c r="Y115" s="64" t="n">
        <f aca="false">IF(Y109=0,0,Y113/Y109)</f>
        <v>0.673877750613162</v>
      </c>
      <c r="Z115" s="64" t="n">
        <f aca="false">IF(Z109=0,0,Z113/Z109)</f>
        <v>0.673876535114637</v>
      </c>
      <c r="AA115" s="64" t="n">
        <f aca="false">IF(AA109=0,0,AA113/AA109)</f>
        <v>0.673876598185935</v>
      </c>
      <c r="AB115" s="64" t="n">
        <f aca="false">IF(AB109=0,0,AB113/AB109)</f>
        <v>0.673876628751955</v>
      </c>
    </row>
    <row r="116" customFormat="false" ht="15" hidden="false" customHeight="false" outlineLevel="0" collapsed="false">
      <c r="A116" s="29" t="s">
        <v>1016</v>
      </c>
      <c r="B116" s="60" t="s">
        <v>989</v>
      </c>
      <c r="C116" s="66" t="n">
        <f aca="false">SUM(E116:P116)</f>
        <v>4571.20347605469</v>
      </c>
      <c r="D116" s="66" t="n">
        <f aca="false">SUM(Q116:AB116)</f>
        <v>4880.75473055289</v>
      </c>
      <c r="E116" s="67" t="n">
        <f aca="false">(People!E97)*Assumptions!E$200</f>
        <v>408</v>
      </c>
      <c r="F116" s="67" t="n">
        <f aca="false">(People!F97)*Assumptions!F$200</f>
        <v>396</v>
      </c>
      <c r="G116" s="67" t="n">
        <f aca="false">(People!G97)*Assumptions!G$200</f>
        <v>448.8</v>
      </c>
      <c r="H116" s="67" t="n">
        <f aca="false">(People!H97)*Assumptions!H$200</f>
        <v>396</v>
      </c>
      <c r="I116" s="67" t="n">
        <f aca="false">(People!I97)*Assumptions!I$200</f>
        <v>338.4</v>
      </c>
      <c r="J116" s="67" t="n">
        <f aca="false">(People!J97)*Assumptions!J$200</f>
        <v>434.4</v>
      </c>
      <c r="K116" s="67" t="n">
        <f aca="false">(People!K97)*Assumptions!K$200</f>
        <v>312</v>
      </c>
      <c r="L116" s="67" t="n">
        <f aca="false">(People!L97)*Assumptions!L$200</f>
        <v>243.2</v>
      </c>
      <c r="M116" s="67" t="n">
        <f aca="false">(People!M97)*Assumptions!M$200</f>
        <v>301.78</v>
      </c>
      <c r="N116" s="67" t="n">
        <f aca="false">(People!N97)*Assumptions!N$200</f>
        <v>434.286</v>
      </c>
      <c r="O116" s="67" t="n">
        <f aca="false">(People!O97)*Assumptions!O$200</f>
        <v>424.19593125</v>
      </c>
      <c r="P116" s="67" t="n">
        <f aca="false">(People!P97)*Assumptions!P$200</f>
        <v>434.141544804687</v>
      </c>
      <c r="Q116" s="67" t="n">
        <f aca="false">(People!Q97)*Assumptions!Q$200</f>
        <v>369.974781171875</v>
      </c>
      <c r="R116" s="67" t="n">
        <f aca="false">(People!R97)*Assumptions!R$200</f>
        <v>381.635302544952</v>
      </c>
      <c r="S116" s="67" t="n">
        <f aca="false">(People!S97)*Assumptions!S$200</f>
        <v>409.429992270488</v>
      </c>
      <c r="T116" s="67" t="n">
        <f aca="false">(People!T97)*Assumptions!T$200</f>
        <v>427.954840368982</v>
      </c>
      <c r="U116" s="67" t="n">
        <f aca="false">(People!U97)*Assumptions!U$200</f>
        <v>326.16935256169</v>
      </c>
      <c r="V116" s="67" t="n">
        <f aca="false">(People!V97)*Assumptions!V$200</f>
        <v>441.831487677515</v>
      </c>
      <c r="W116" s="67" t="n">
        <f aca="false">(People!W97)*Assumptions!W$200</f>
        <v>427.951756231289</v>
      </c>
      <c r="X116" s="67" t="n">
        <f aca="false">(People!X97)*Assumptions!X$200</f>
        <v>374.746977053231</v>
      </c>
      <c r="Y116" s="67" t="n">
        <f aca="false">(People!Y97)*Assumptions!Y$200</f>
        <v>441.831324090265</v>
      </c>
      <c r="Z116" s="67" t="n">
        <f aca="false">(People!Z97)*Assumptions!Z$200</f>
        <v>402.506024856065</v>
      </c>
      <c r="AA116" s="67" t="n">
        <f aca="false">(People!AA97)*Assumptions!AA$200</f>
        <v>421.012048350313</v>
      </c>
      <c r="AB116" s="67" t="n">
        <f aca="false">(People!AB97)*Assumptions!AB$200</f>
        <v>455.710843376223</v>
      </c>
    </row>
    <row r="117" customFormat="false" ht="15" hidden="false" customHeight="false" outlineLevel="0" collapsed="false">
      <c r="A117" s="29" t="s">
        <v>1017</v>
      </c>
      <c r="B117" s="60" t="s">
        <v>991</v>
      </c>
      <c r="C117" s="66" t="n">
        <f aca="false">SUM(E117:P117)</f>
        <v>4503.49412576244</v>
      </c>
      <c r="D117" s="66" t="n">
        <f aca="false">SUM(Q117:AB117)</f>
        <v>2940.39432423756</v>
      </c>
      <c r="E117" s="67" t="n">
        <f aca="false">IF(E$5="A",Inputs_Actuals!E160+Inputs_Actuals!E161,SUMPRODUCT((Engagement_Register!$C$7:$C$39="DIG")*Engagement_Register!$AB$7:$AB$39*Engagements!$E$9:$E$41))</f>
        <v>323.097</v>
      </c>
      <c r="F117" s="67" t="n">
        <f aca="false">IF(F$5="A",Inputs_Actuals!F160+Inputs_Actuals!F161,SUMPRODUCT((Engagement_Register!$C$7:$C$39="DIG")*Engagement_Register!$AB$7:$AB$39*Engagements!$F$9:$F$41))</f>
        <v>287.457</v>
      </c>
      <c r="G117" s="67" t="n">
        <f aca="false">IF(G$5="A",Inputs_Actuals!G160+Inputs_Actuals!G161,SUMPRODUCT((Engagement_Register!$C$7:$C$39="DIG")*Engagement_Register!$AB$7:$AB$39*Engagements!$G$9:$G$41))</f>
        <v>402.175</v>
      </c>
      <c r="H117" s="67" t="n">
        <f aca="false">IF(H$5="A",Inputs_Actuals!H160+Inputs_Actuals!H161,SUMPRODUCT((Engagement_Register!$C$7:$C$39="DIG")*Engagement_Register!$AB$7:$AB$39*Engagements!$H$9:$H$41))</f>
        <v>278.797</v>
      </c>
      <c r="I117" s="67" t="n">
        <f aca="false">IF(I$5="A",Inputs_Actuals!I160+Inputs_Actuals!I161,SUMPRODUCT((Engagement_Register!$C$7:$C$39="DIG")*Engagement_Register!$AB$7:$AB$39*Engagements!$I$9:$I$41))</f>
        <v>292.973</v>
      </c>
      <c r="J117" s="67" t="n">
        <f aca="false">IF(J$5="A",Inputs_Actuals!J160+Inputs_Actuals!J161,SUMPRODUCT((Engagement_Register!$C$7:$C$39="DIG")*Engagement_Register!$AB$7:$AB$39*Engagements!$J$9:$J$41))</f>
        <v>342.092</v>
      </c>
      <c r="K117" s="67" t="n">
        <f aca="false">IF(K$5="A",Inputs_Actuals!K160+Inputs_Actuals!K161,SUMPRODUCT((Engagement_Register!$C$7:$C$39="DIG")*Engagement_Register!$AB$7:$AB$39*Engagements!$K$9:$K$41))</f>
        <v>439.867</v>
      </c>
      <c r="L117" s="67" t="n">
        <f aca="false">IF(L$5="A",Inputs_Actuals!L160+Inputs_Actuals!L161,SUMPRODUCT((Engagement_Register!$C$7:$C$39="DIG")*Engagement_Register!$AB$7:$AB$39*Engagements!$L$9:$L$41))</f>
        <v>325.379</v>
      </c>
      <c r="M117" s="67" t="n">
        <f aca="false">IF(M$5="A",Inputs_Actuals!M160+Inputs_Actuals!M161,SUMPRODUCT((Engagement_Register!$C$7:$C$39="DIG")*Engagement_Register!$AB$7:$AB$39*Engagements!$M$9:$M$41))</f>
        <v>498.797320692777</v>
      </c>
      <c r="N117" s="67" t="n">
        <f aca="false">IF(N$5="A",Inputs_Actuals!N160+Inputs_Actuals!N161,SUMPRODUCT((Engagement_Register!$C$7:$C$39="DIG")*Engagement_Register!$AB$7:$AB$39*Engagements!$N$9:$N$41))</f>
        <v>480.936570719743</v>
      </c>
      <c r="O117" s="67" t="n">
        <f aca="false">IF(O$5="A",Inputs_Actuals!O160+Inputs_Actuals!O161,SUMPRODUCT((Engagement_Register!$C$7:$C$39="DIG")*Engagement_Register!$AB$7:$AB$39*Engagements!$O$9:$O$41))</f>
        <v>410.325280898876</v>
      </c>
      <c r="P117" s="67" t="n">
        <f aca="false">IF(P$5="A",Inputs_Actuals!P160+Inputs_Actuals!P161,SUMPRODUCT((Engagement_Register!$C$7:$C$39="DIG")*Engagement_Register!$AB$7:$AB$39*Engagements!$P$9:$P$41))</f>
        <v>421.597953451043</v>
      </c>
      <c r="Q117" s="67" t="n">
        <f aca="false">IF(Q$5="A",Inputs_Actuals!Q160+Inputs_Actuals!Q161,SUMPRODUCT((Engagement_Register!$C$7:$C$39="DIG")*Engagement_Register!$AB$7:$AB$39*Engagements!$Q$9:$Q$41))</f>
        <v>360.725521669342</v>
      </c>
      <c r="R117" s="67" t="n">
        <f aca="false">IF(R$5="A",Inputs_Actuals!R160+Inputs_Actuals!R161,SUMPRODUCT((Engagement_Register!$C$7:$C$39="DIG")*Engagement_Register!$AB$7:$AB$39*Engagements!$R$9:$R$41))</f>
        <v>343.821727155641</v>
      </c>
      <c r="S117" s="67" t="n">
        <f aca="false">IF(S$5="A",Inputs_Actuals!S160+Inputs_Actuals!S161,SUMPRODUCT((Engagement_Register!$C$7:$C$39="DIG")*Engagement_Register!$AB$7:$AB$39*Engagements!$S$9:$S$41))</f>
        <v>368.826943676051</v>
      </c>
      <c r="T117" s="67" t="n">
        <f aca="false">IF(T$5="A",Inputs_Actuals!T160+Inputs_Actuals!T161,SUMPRODUCT((Engagement_Register!$C$7:$C$39="DIG")*Engagement_Register!$AB$7:$AB$39*Engagements!$T$9:$T$41))</f>
        <v>236.073750856496</v>
      </c>
      <c r="U117" s="67" t="n">
        <f aca="false">IF(U$5="A",Inputs_Actuals!U160+Inputs_Actuals!U161,SUMPRODUCT((Engagement_Register!$C$7:$C$39="DIG")*Engagement_Register!$AB$7:$AB$39*Engagements!$U$9:$U$41))</f>
        <v>179.926480382519</v>
      </c>
      <c r="V117" s="67" t="n">
        <f aca="false">IF(V$5="A",Inputs_Actuals!V160+Inputs_Actuals!V161,SUMPRODUCT((Engagement_Register!$C$7:$C$39="DIG")*Engagement_Register!$AB$7:$AB$39*Engagements!$V$9:$V$41))</f>
        <v>216.181592039801</v>
      </c>
      <c r="W117" s="67" t="n">
        <f aca="false">IF(W$5="A",Inputs_Actuals!W160+Inputs_Actuals!W161,SUMPRODUCT((Engagement_Register!$C$7:$C$39="DIG")*Engagement_Register!$AB$7:$AB$39*Engagements!$W$9:$W$41))</f>
        <v>209.390547263682</v>
      </c>
      <c r="X117" s="67" t="n">
        <f aca="false">IF(X$5="A",Inputs_Actuals!X160+Inputs_Actuals!X161,SUMPRODUCT((Engagement_Register!$C$7:$C$39="DIG")*Engagement_Register!$AB$7:$AB$39*Engagements!$X$9:$X$41))</f>
        <v>183.358208955224</v>
      </c>
      <c r="Y117" s="67" t="n">
        <f aca="false">IF(Y$5="A",Inputs_Actuals!Y160+Inputs_Actuals!Y161,SUMPRODUCT((Engagement_Register!$C$7:$C$39="DIG")*Engagement_Register!$AB$7:$AB$39*Engagements!$Y$9:$Y$41))</f>
        <v>216.181592039801</v>
      </c>
      <c r="Z117" s="67" t="n">
        <f aca="false">IF(Z$5="A",Inputs_Actuals!Z160+Inputs_Actuals!Z161,SUMPRODUCT((Engagement_Register!$C$7:$C$39="DIG")*Engagement_Register!$AB$7:$AB$39*Engagements!$Z$9:$Z$41))</f>
        <v>196.940298507463</v>
      </c>
      <c r="AA117" s="67" t="n">
        <f aca="false">IF(AA$5="A",Inputs_Actuals!AA160+Inputs_Actuals!AA161,SUMPRODUCT((Engagement_Register!$C$7:$C$39="DIG")*Engagement_Register!$AB$7:$AB$39*Engagements!$AA$9:$AA$41))</f>
        <v>205.995024875622</v>
      </c>
      <c r="AB117" s="67" t="n">
        <f aca="false">IF(AB$5="A",Inputs_Actuals!AB160+Inputs_Actuals!AB161,SUMPRODUCT((Engagement_Register!$C$7:$C$39="DIG")*Engagement_Register!$AB$7:$AB$39*Engagements!$AB$9:$AB$41))</f>
        <v>222.97263681592</v>
      </c>
    </row>
    <row r="118" customFormat="false" ht="15" hidden="false" customHeight="false" outlineLevel="0" collapsed="false">
      <c r="A118" s="29" t="s">
        <v>1018</v>
      </c>
      <c r="B118" s="60" t="s">
        <v>993</v>
      </c>
      <c r="C118" s="66" t="n">
        <f aca="false">SUM(E118:P118)</f>
        <v>0</v>
      </c>
      <c r="D118" s="66" t="n">
        <f aca="false">SUM(Q118:AB118)</f>
        <v>946.516708005795</v>
      </c>
      <c r="E118" s="72" t="n">
        <f aca="false">0</f>
        <v>0</v>
      </c>
      <c r="F118" s="72" t="n">
        <f aca="false">0</f>
        <v>0</v>
      </c>
      <c r="G118" s="72" t="n">
        <f aca="false">0</f>
        <v>0</v>
      </c>
      <c r="H118" s="72" t="n">
        <f aca="false">0</f>
        <v>0</v>
      </c>
      <c r="I118" s="72" t="n">
        <f aca="false">0</f>
        <v>0</v>
      </c>
      <c r="J118" s="72" t="n">
        <f aca="false">0</f>
        <v>0</v>
      </c>
      <c r="K118" s="72" t="n">
        <f aca="false">0</f>
        <v>0</v>
      </c>
      <c r="L118" s="72" t="n">
        <f aca="false">0</f>
        <v>0</v>
      </c>
      <c r="M118" s="67" t="n">
        <f aca="false">IF(Assumptions!M$186&gt;=Assumptions!$C$152,MAX(0,Assumptions!$F$67*M116-M117)*Assumptions!$F$168,0)</f>
        <v>0</v>
      </c>
      <c r="N118" s="67" t="n">
        <f aca="false">IF(Assumptions!N$186&gt;=Assumptions!$C$152,MAX(0,Assumptions!$F$67*N116-N117)*Assumptions!$F$168,0)</f>
        <v>0</v>
      </c>
      <c r="O118" s="67" t="n">
        <f aca="false">IF(Assumptions!O$186&gt;=Assumptions!$C$152,MAX(0,Assumptions!$F$67*O116-O117)*Assumptions!$F$168,0)</f>
        <v>0</v>
      </c>
      <c r="P118" s="67" t="n">
        <f aca="false">IF(Assumptions!P$186&gt;=Assumptions!$C$152,MAX(0,Assumptions!$F$67*P116-P117)*Assumptions!$F$168,0)</f>
        <v>0</v>
      </c>
      <c r="Q118" s="67" t="n">
        <f aca="false">IF(Assumptions!Q$186&gt;=Assumptions!$C$152,MAX(0,Assumptions!$F$67*Q116-Q117)*Assumptions!$F$168,0)</f>
        <v>0</v>
      </c>
      <c r="R118" s="67" t="n">
        <f aca="false">IF(Assumptions!R$186&gt;=Assumptions!$C$152,MAX(0,Assumptions!$F$67*R116-R117)*Assumptions!$F$168,0)</f>
        <v>0</v>
      </c>
      <c r="S118" s="67" t="n">
        <f aca="false">IF(Assumptions!S$186&gt;=Assumptions!$C$152,MAX(0,Assumptions!$F$67*S116-S117)*Assumptions!$F$168,0)</f>
        <v>0</v>
      </c>
      <c r="T118" s="67" t="n">
        <f aca="false">IF(Assumptions!T$186&gt;=Assumptions!$C$152,MAX(0,Assumptions!$F$67*T116-T117)*Assumptions!$F$168,0)</f>
        <v>91.8793745968555</v>
      </c>
      <c r="U118" s="67" t="n">
        <f aca="false">IF(Assumptions!U$186&gt;=Assumptions!$C$152,MAX(0,Assumptions!$F$67*U116-U117)*Assumptions!$F$168,0)</f>
        <v>70.0259109744541</v>
      </c>
      <c r="V118" s="67" t="n">
        <f aca="false">IF(Assumptions!V$186&gt;=Assumptions!$C$152,MAX(0,Assumptions!$F$67*V116-V117)*Assumptions!$F$168,0)</f>
        <v>116.896182284609</v>
      </c>
      <c r="W118" s="67" t="n">
        <f aca="false">IF(Assumptions!W$186&gt;=Assumptions!$C$152,MAX(0,Assumptions!$F$67*W116-W117)*Assumptions!$F$168,0)</f>
        <v>113.22391427678</v>
      </c>
      <c r="X118" s="67" t="n">
        <f aca="false">IF(Assumptions!X$186&gt;=Assumptions!$C$152,MAX(0,Assumptions!$F$67*X116-X117)*Assumptions!$F$168,0)</f>
        <v>99.1474497827401</v>
      </c>
      <c r="Y118" s="67" t="n">
        <f aca="false">IF(Assumptions!Y$186&gt;=Assumptions!$C$152,MAX(0,Assumptions!$F$67*Y116-Y117)*Assumptions!$F$168,0)</f>
        <v>116.896074971373</v>
      </c>
      <c r="Z118" s="67" t="n">
        <f aca="false">IF(Assumptions!Z$186&gt;=Assumptions!$C$152,MAX(0,Assumptions!$F$67*Z116-Z117)*Assumptions!$F$168,0)</f>
        <v>106.491713499609</v>
      </c>
      <c r="AA118" s="67" t="n">
        <f aca="false">IF(Assumptions!AA$186&gt;=Assumptions!$C$152,MAX(0,Assumptions!$F$67*AA116-AA117)*Assumptions!$F$168,0)</f>
        <v>111.387883817308</v>
      </c>
      <c r="AB118" s="67" t="n">
        <f aca="false">IF(Assumptions!AB$186&gt;=Assumptions!$C$152,MAX(0,Assumptions!$F$67*AB116-AB117)*Assumptions!$F$168,0)</f>
        <v>120.568203802066</v>
      </c>
    </row>
    <row r="119" customFormat="false" ht="15" hidden="false" customHeight="false" outlineLevel="0" collapsed="false">
      <c r="A119" s="29" t="s">
        <v>1019</v>
      </c>
      <c r="B119" s="60" t="s">
        <v>995</v>
      </c>
      <c r="C119" s="66" t="n">
        <f aca="false">SUM(E119:P119)</f>
        <v>4503.49412576244</v>
      </c>
      <c r="D119" s="66" t="n">
        <f aca="false">SUM(Q119:AB119)</f>
        <v>3886.91103224336</v>
      </c>
      <c r="E119" s="72" t="n">
        <f aca="false">E117+E118</f>
        <v>323.097</v>
      </c>
      <c r="F119" s="72" t="n">
        <f aca="false">F117+F118</f>
        <v>287.457</v>
      </c>
      <c r="G119" s="72" t="n">
        <f aca="false">G117+G118</f>
        <v>402.175</v>
      </c>
      <c r="H119" s="72" t="n">
        <f aca="false">H117+H118</f>
        <v>278.797</v>
      </c>
      <c r="I119" s="72" t="n">
        <f aca="false">I117+I118</f>
        <v>292.973</v>
      </c>
      <c r="J119" s="72" t="n">
        <f aca="false">J117+J118</f>
        <v>342.092</v>
      </c>
      <c r="K119" s="72" t="n">
        <f aca="false">K117+K118</f>
        <v>439.867</v>
      </c>
      <c r="L119" s="72" t="n">
        <f aca="false">L117+L118</f>
        <v>325.379</v>
      </c>
      <c r="M119" s="72" t="n">
        <f aca="false">M117+M118</f>
        <v>498.797320692777</v>
      </c>
      <c r="N119" s="72" t="n">
        <f aca="false">N117+N118</f>
        <v>480.936570719743</v>
      </c>
      <c r="O119" s="72" t="n">
        <f aca="false">O117+O118</f>
        <v>410.325280898876</v>
      </c>
      <c r="P119" s="72" t="n">
        <f aca="false">P117+P118</f>
        <v>421.597953451043</v>
      </c>
      <c r="Q119" s="72" t="n">
        <f aca="false">Q117+Q118</f>
        <v>360.725521669342</v>
      </c>
      <c r="R119" s="72" t="n">
        <f aca="false">R117+R118</f>
        <v>343.821727155641</v>
      </c>
      <c r="S119" s="72" t="n">
        <f aca="false">S117+S118</f>
        <v>368.826943676051</v>
      </c>
      <c r="T119" s="72" t="n">
        <f aca="false">T117+T118</f>
        <v>327.953125453351</v>
      </c>
      <c r="U119" s="72" t="n">
        <f aca="false">U117+U118</f>
        <v>249.952391356973</v>
      </c>
      <c r="V119" s="72" t="n">
        <f aca="false">V117+V118</f>
        <v>333.07777432441</v>
      </c>
      <c r="W119" s="72" t="n">
        <f aca="false">W117+W118</f>
        <v>322.614461540462</v>
      </c>
      <c r="X119" s="72" t="n">
        <f aca="false">X117+X118</f>
        <v>282.505658737964</v>
      </c>
      <c r="Y119" s="72" t="n">
        <f aca="false">Y117+Y118</f>
        <v>333.077667011174</v>
      </c>
      <c r="Z119" s="72" t="n">
        <f aca="false">Z117+Z118</f>
        <v>303.432012007071</v>
      </c>
      <c r="AA119" s="72" t="n">
        <f aca="false">AA117+AA118</f>
        <v>317.38290869293</v>
      </c>
      <c r="AB119" s="72" t="n">
        <f aca="false">AB117+AB118</f>
        <v>343.540840617987</v>
      </c>
    </row>
    <row r="120" customFormat="false" ht="15" hidden="false" customHeight="false" outlineLevel="0" collapsed="false">
      <c r="A120" s="29" t="s">
        <v>1020</v>
      </c>
      <c r="B120" s="60" t="s">
        <v>997</v>
      </c>
      <c r="C120" s="66" t="n">
        <f aca="false">SUM(E120:P120)</f>
        <v>3852.56312844922</v>
      </c>
      <c r="D120" s="66" t="n">
        <f aca="false">SUM(Q120:AB120)</f>
        <v>3858.47290813091</v>
      </c>
      <c r="E120" s="67" t="n">
        <f aca="false">IF(E$5="A",Inputs_Actuals!E160,MIN(E119,E116*Assumptions!$C$83))</f>
        <v>323</v>
      </c>
      <c r="F120" s="67" t="n">
        <f aca="false">IF(F$5="A",Inputs_Actuals!F160,MIN(F119,F116*Assumptions!$C$83))</f>
        <v>287.4</v>
      </c>
      <c r="G120" s="67" t="n">
        <f aca="false">IF(G$5="A",Inputs_Actuals!G160,MIN(G119,G116*Assumptions!$C$83))</f>
        <v>400.5</v>
      </c>
      <c r="H120" s="67" t="n">
        <f aca="false">IF(H$5="A",Inputs_Actuals!H160,MIN(H119,H116*Assumptions!$C$83))</f>
        <v>278.7</v>
      </c>
      <c r="I120" s="67" t="n">
        <f aca="false">IF(I$5="A",Inputs_Actuals!I160,MIN(I119,I116*Assumptions!$C$83))</f>
        <v>292.9</v>
      </c>
      <c r="J120" s="67" t="n">
        <f aca="false">IF(J$5="A",Inputs_Actuals!J160,MIN(J119,J116*Assumptions!$C$83))</f>
        <v>342</v>
      </c>
      <c r="K120" s="67" t="n">
        <f aca="false">IF(K$5="A",Inputs_Actuals!K160,MIN(K119,K116*Assumptions!$C$83))</f>
        <v>276.1</v>
      </c>
      <c r="L120" s="67" t="n">
        <f aca="false">IF(L$5="A",Inputs_Actuals!L160,MIN(L119,L116*Assumptions!$C$83))</f>
        <v>217</v>
      </c>
      <c r="M120" s="67" t="n">
        <f aca="false">IF(M$5="A",Inputs_Actuals!M160,MIN(M119,M116*Assumptions!$C$83))</f>
        <v>271.602</v>
      </c>
      <c r="N120" s="67" t="n">
        <f aca="false">IF(N$5="A",Inputs_Actuals!N160,MIN(N119,N116*Assumptions!$C$83))</f>
        <v>390.8574</v>
      </c>
      <c r="O120" s="67" t="n">
        <f aca="false">IF(O$5="A",Inputs_Actuals!O160,MIN(O119,O116*Assumptions!$C$83))</f>
        <v>381.776338125</v>
      </c>
      <c r="P120" s="67" t="n">
        <f aca="false">IF(P$5="A",Inputs_Actuals!P160,MIN(P119,P116*Assumptions!$C$83))</f>
        <v>390.727390324219</v>
      </c>
      <c r="Q120" s="67" t="n">
        <f aca="false">IF(Q$5="A",Inputs_Actuals!Q160,MIN(Q119,Q116*Assumptions!$C$83))</f>
        <v>332.977303054688</v>
      </c>
      <c r="R120" s="67" t="n">
        <f aca="false">IF(R$5="A",Inputs_Actuals!R160,MIN(R119,R116*Assumptions!$C$83))</f>
        <v>343.471772290457</v>
      </c>
      <c r="S120" s="67" t="n">
        <f aca="false">IF(S$5="A",Inputs_Actuals!S160,MIN(S119,S116*Assumptions!$C$83))</f>
        <v>368.486993043439</v>
      </c>
      <c r="T120" s="67" t="n">
        <f aca="false">IF(T$5="A",Inputs_Actuals!T160,MIN(T119,T116*Assumptions!$C$83))</f>
        <v>327.953125453351</v>
      </c>
      <c r="U120" s="67" t="n">
        <f aca="false">IF(U$5="A",Inputs_Actuals!U160,MIN(U119,U116*Assumptions!$C$83))</f>
        <v>249.952391356973</v>
      </c>
      <c r="V120" s="67" t="n">
        <f aca="false">IF(V$5="A",Inputs_Actuals!V160,MIN(V119,V116*Assumptions!$C$83))</f>
        <v>333.07777432441</v>
      </c>
      <c r="W120" s="67" t="n">
        <f aca="false">IF(W$5="A",Inputs_Actuals!W160,MIN(W119,W116*Assumptions!$C$83))</f>
        <v>322.614461540462</v>
      </c>
      <c r="X120" s="67" t="n">
        <f aca="false">IF(X$5="A",Inputs_Actuals!X160,MIN(X119,X116*Assumptions!$C$83))</f>
        <v>282.505658737964</v>
      </c>
      <c r="Y120" s="67" t="n">
        <f aca="false">IF(Y$5="A",Inputs_Actuals!Y160,MIN(Y119,Y116*Assumptions!$C$83))</f>
        <v>333.077667011174</v>
      </c>
      <c r="Z120" s="67" t="n">
        <f aca="false">IF(Z$5="A",Inputs_Actuals!Z160,MIN(Z119,Z116*Assumptions!$C$83))</f>
        <v>303.432012007071</v>
      </c>
      <c r="AA120" s="67" t="n">
        <f aca="false">IF(AA$5="A",Inputs_Actuals!AA160,MIN(AA119,AA116*Assumptions!$C$83))</f>
        <v>317.38290869293</v>
      </c>
      <c r="AB120" s="67" t="n">
        <f aca="false">IF(AB$5="A",Inputs_Actuals!AB160,MIN(AB119,AB116*Assumptions!$C$83))</f>
        <v>343.540840617987</v>
      </c>
    </row>
    <row r="121" customFormat="false" ht="15" hidden="false" customHeight="false" outlineLevel="0" collapsed="false">
      <c r="A121" s="29" t="s">
        <v>1021</v>
      </c>
      <c r="B121" s="60" t="s">
        <v>999</v>
      </c>
      <c r="C121" s="66" t="n">
        <f aca="false">SUM(E121:P121)</f>
        <v>650.930997313221</v>
      </c>
      <c r="D121" s="66" t="n">
        <f aca="false">SUM(Q121:AB121)</f>
        <v>28.4381241124492</v>
      </c>
      <c r="E121" s="67" t="n">
        <f aca="false">IF(E$5="A",Inputs_Actuals!E161,E119-E120)</f>
        <v>0.097</v>
      </c>
      <c r="F121" s="67" t="n">
        <f aca="false">IF(F$5="A",Inputs_Actuals!F161,F119-F120)</f>
        <v>0.057</v>
      </c>
      <c r="G121" s="67" t="n">
        <f aca="false">IF(G$5="A",Inputs_Actuals!G161,G119-G120)</f>
        <v>1.675</v>
      </c>
      <c r="H121" s="67" t="n">
        <f aca="false">IF(H$5="A",Inputs_Actuals!H161,H119-H120)</f>
        <v>0.097</v>
      </c>
      <c r="I121" s="67" t="n">
        <f aca="false">IF(I$5="A",Inputs_Actuals!I161,I119-I120)</f>
        <v>0.073</v>
      </c>
      <c r="J121" s="67" t="n">
        <f aca="false">IF(J$5="A",Inputs_Actuals!J161,J119-J120)</f>
        <v>0.092</v>
      </c>
      <c r="K121" s="67" t="n">
        <f aca="false">IF(K$5="A",Inputs_Actuals!K161,K119-K120)</f>
        <v>163.767</v>
      </c>
      <c r="L121" s="67" t="n">
        <f aca="false">IF(L$5="A",Inputs_Actuals!L161,L119-L120)</f>
        <v>108.379</v>
      </c>
      <c r="M121" s="67" t="n">
        <f aca="false">IF(M$5="A",Inputs_Actuals!M161,M119-M120)</f>
        <v>227.195320692777</v>
      </c>
      <c r="N121" s="67" t="n">
        <f aca="false">IF(N$5="A",Inputs_Actuals!N161,N119-N120)</f>
        <v>90.0791707197432</v>
      </c>
      <c r="O121" s="67" t="n">
        <f aca="false">IF(O$5="A",Inputs_Actuals!O161,O119-O120)</f>
        <v>28.5489427738764</v>
      </c>
      <c r="P121" s="67" t="n">
        <f aca="false">IF(P$5="A",Inputs_Actuals!P161,P119-P120)</f>
        <v>30.8705631268247</v>
      </c>
      <c r="Q121" s="67" t="n">
        <f aca="false">IF(Q$5="A",Inputs_Actuals!Q161,Q119-Q120)</f>
        <v>27.7482186146544</v>
      </c>
      <c r="R121" s="67" t="n">
        <f aca="false">IF(R$5="A",Inputs_Actuals!R161,R119-R120)</f>
        <v>0.349954865183463</v>
      </c>
      <c r="S121" s="67" t="n">
        <f aca="false">IF(S$5="A",Inputs_Actuals!S161,S119-S120)</f>
        <v>0.339950632611362</v>
      </c>
      <c r="T121" s="67" t="n">
        <f aca="false">IF(T$5="A",Inputs_Actuals!T161,T119-T120)</f>
        <v>0</v>
      </c>
      <c r="U121" s="67" t="n">
        <f aca="false">IF(U$5="A",Inputs_Actuals!U161,U119-U120)</f>
        <v>0</v>
      </c>
      <c r="V121" s="67" t="n">
        <f aca="false">IF(V$5="A",Inputs_Actuals!V161,V119-V120)</f>
        <v>0</v>
      </c>
      <c r="W121" s="67" t="n">
        <f aca="false">IF(W$5="A",Inputs_Actuals!W161,W119-W120)</f>
        <v>0</v>
      </c>
      <c r="X121" s="67" t="n">
        <f aca="false">IF(X$5="A",Inputs_Actuals!X161,X119-X120)</f>
        <v>0</v>
      </c>
      <c r="Y121" s="67" t="n">
        <f aca="false">IF(Y$5="A",Inputs_Actuals!Y161,Y119-Y120)</f>
        <v>0</v>
      </c>
      <c r="Z121" s="67" t="n">
        <f aca="false">IF(Z$5="A",Inputs_Actuals!Z161,Z119-Z120)</f>
        <v>0</v>
      </c>
      <c r="AA121" s="67" t="n">
        <f aca="false">IF(AA$5="A",Inputs_Actuals!AA161,AA119-AA120)</f>
        <v>0</v>
      </c>
      <c r="AB121" s="67" t="n">
        <f aca="false">IF(AB$5="A",Inputs_Actuals!AB161,AB119-AB120)</f>
        <v>0</v>
      </c>
    </row>
    <row r="122" customFormat="false" ht="15" hidden="false" customHeight="false" outlineLevel="0" collapsed="false">
      <c r="A122" s="29" t="s">
        <v>1022</v>
      </c>
      <c r="B122" s="60" t="s">
        <v>1001</v>
      </c>
      <c r="C122" s="63" t="n">
        <f aca="false">IF(C116=0,0,C120/C116)</f>
        <v>0.842789682986128</v>
      </c>
      <c r="D122" s="63" t="n">
        <f aca="false">IF(D116=0,0,D120/D116)</f>
        <v>0.790548413338078</v>
      </c>
      <c r="E122" s="64" t="n">
        <f aca="false">IF(E116=0,0,E120/E116)</f>
        <v>0.791666666666667</v>
      </c>
      <c r="F122" s="64" t="n">
        <f aca="false">IF(F116=0,0,F120/F116)</f>
        <v>0.725757575757576</v>
      </c>
      <c r="G122" s="64" t="n">
        <f aca="false">IF(G116=0,0,G120/G116)</f>
        <v>0.892379679144385</v>
      </c>
      <c r="H122" s="64" t="n">
        <f aca="false">IF(H116=0,0,H120/H116)</f>
        <v>0.703787878787879</v>
      </c>
      <c r="I122" s="64" t="n">
        <f aca="false">IF(I116=0,0,I120/I116)</f>
        <v>0.865543735224586</v>
      </c>
      <c r="J122" s="64" t="n">
        <f aca="false">IF(J116=0,0,J120/J116)</f>
        <v>0.787292817679558</v>
      </c>
      <c r="K122" s="64" t="n">
        <f aca="false">IF(K116=0,0,K120/K116)</f>
        <v>0.884935897435898</v>
      </c>
      <c r="L122" s="64" t="n">
        <f aca="false">IF(L116=0,0,L120/L116)</f>
        <v>0.892269736842105</v>
      </c>
      <c r="M122" s="64" t="n">
        <f aca="false">IF(M116=0,0,M120/M116)</f>
        <v>0.9</v>
      </c>
      <c r="N122" s="64" t="n">
        <f aca="false">IF(N116=0,0,N120/N116)</f>
        <v>0.9</v>
      </c>
      <c r="O122" s="64" t="n">
        <f aca="false">IF(O116=0,0,O120/O116)</f>
        <v>0.9</v>
      </c>
      <c r="P122" s="64" t="n">
        <f aca="false">IF(P116=0,0,P120/P116)</f>
        <v>0.9</v>
      </c>
      <c r="Q122" s="64" t="n">
        <f aca="false">IF(Q116=0,0,Q120/Q116)</f>
        <v>0.9</v>
      </c>
      <c r="R122" s="64" t="n">
        <f aca="false">IF(R116=0,0,R120/R116)</f>
        <v>0.9</v>
      </c>
      <c r="S122" s="64" t="n">
        <f aca="false">IF(S116=0,0,S120/S116)</f>
        <v>0.9</v>
      </c>
      <c r="T122" s="64" t="n">
        <f aca="false">IF(T116=0,0,T120/T116)</f>
        <v>0.766326477743751</v>
      </c>
      <c r="U122" s="64" t="n">
        <f aca="false">IF(U116=0,0,U120/U116)</f>
        <v>0.766327030402703</v>
      </c>
      <c r="V122" s="64" t="n">
        <f aca="false">IF(V116=0,0,V120/V116)</f>
        <v>0.753857032859364</v>
      </c>
      <c r="W122" s="64" t="n">
        <f aca="false">IF(W116=0,0,W120/W116)</f>
        <v>0.753857080483864</v>
      </c>
      <c r="X122" s="64" t="n">
        <f aca="false">IF(X116=0,0,X120/X116)</f>
        <v>0.753857071668482</v>
      </c>
      <c r="Y122" s="64" t="n">
        <f aca="false">IF(Y116=0,0,Y120/Y116)</f>
        <v>0.753857069090754</v>
      </c>
      <c r="Z122" s="64" t="n">
        <f aca="false">IF(Z116=0,0,Z120/Z116)</f>
        <v>0.753857068637861</v>
      </c>
      <c r="AA122" s="64" t="n">
        <f aca="false">IF(AA116=0,0,AA120/AA116)</f>
        <v>0.753857068785936</v>
      </c>
      <c r="AB122" s="64" t="n">
        <f aca="false">IF(AB116=0,0,AB120/AB116)</f>
        <v>0.753857068821968</v>
      </c>
    </row>
    <row r="123" customFormat="false" ht="15" hidden="false" customHeight="false" outlineLevel="0" collapsed="false">
      <c r="A123" s="29" t="s">
        <v>1023</v>
      </c>
      <c r="B123" s="60" t="s">
        <v>989</v>
      </c>
      <c r="C123" s="66" t="n">
        <f aca="false">SUM(E123:P123)</f>
        <v>5025.31273439453</v>
      </c>
      <c r="D123" s="66" t="n">
        <f aca="false">SUM(Q123:AB123)</f>
        <v>6507.84686616684</v>
      </c>
      <c r="E123" s="67" t="n">
        <f aca="false">(People!E100)*Assumptions!E$200</f>
        <v>272</v>
      </c>
      <c r="F123" s="67" t="n">
        <f aca="false">(People!F100)*Assumptions!F$200</f>
        <v>264</v>
      </c>
      <c r="G123" s="67" t="n">
        <f aca="false">(People!G100)*Assumptions!G$200</f>
        <v>299.2</v>
      </c>
      <c r="H123" s="67" t="n">
        <f aca="false">(People!H100)*Assumptions!H$200</f>
        <v>264</v>
      </c>
      <c r="I123" s="67" t="n">
        <f aca="false">(People!I100)*Assumptions!I$200</f>
        <v>338.4</v>
      </c>
      <c r="J123" s="67" t="n">
        <f aca="false">(People!J100)*Assumptions!J$200</f>
        <v>434.4</v>
      </c>
      <c r="K123" s="67" t="n">
        <f aca="false">(People!K100)*Assumptions!K$200</f>
        <v>468</v>
      </c>
      <c r="L123" s="67" t="n">
        <f aca="false">(People!L100)*Assumptions!L$200</f>
        <v>364.8</v>
      </c>
      <c r="M123" s="67" t="n">
        <f aca="false">(People!M100)*Assumptions!M$200</f>
        <v>605.47</v>
      </c>
      <c r="N123" s="67" t="n">
        <f aca="false">(People!N100)*Assumptions!N$200</f>
        <v>575.989</v>
      </c>
      <c r="O123" s="67" t="n">
        <f aca="false">(People!O100)*Assumptions!O$200</f>
        <v>562.606646875</v>
      </c>
      <c r="P123" s="67" t="n">
        <f aca="false">(People!P100)*Assumptions!P$200</f>
        <v>576.447087519531</v>
      </c>
      <c r="Q123" s="67" t="n">
        <f aca="false">(People!Q100)*Assumptions!Q$200</f>
        <v>493.391549882813</v>
      </c>
      <c r="R123" s="67" t="n">
        <f aca="false">(People!R100)*Assumptions!R$200</f>
        <v>508.906308806442</v>
      </c>
      <c r="S123" s="67" t="n">
        <f aca="false">(People!S100)*Assumptions!S$200</f>
        <v>545.933086014549</v>
      </c>
      <c r="T123" s="67" t="n">
        <f aca="false">(People!T100)*Assumptions!T$200</f>
        <v>570.60395088372</v>
      </c>
      <c r="U123" s="67" t="n">
        <f aca="false">(People!U100)*Assumptions!U$200</f>
        <v>434.891597973688</v>
      </c>
      <c r="V123" s="67" t="n">
        <f aca="false">(People!V100)*Assumptions!V$200</f>
        <v>589.108340803561</v>
      </c>
      <c r="W123" s="67" t="n">
        <f aca="false">(People!W100)*Assumptions!W$200</f>
        <v>570.602390978097</v>
      </c>
      <c r="X123" s="67" t="n">
        <f aca="false">(People!X100)*Assumptions!X$200</f>
        <v>499.662651336543</v>
      </c>
      <c r="Y123" s="67" t="n">
        <f aca="false">(People!Y100)*Assumptions!Y$200</f>
        <v>589.108435126583</v>
      </c>
      <c r="Z123" s="67" t="n">
        <f aca="false">(People!Z100)*Assumptions!Z$200</f>
        <v>536.674698988864</v>
      </c>
      <c r="AA123" s="67" t="n">
        <f aca="false">(People!AA100)*Assumptions!AA$200</f>
        <v>561.349397560944</v>
      </c>
      <c r="AB123" s="67" t="n">
        <f aca="false">(People!AB100)*Assumptions!AB$200</f>
        <v>607.61445781104</v>
      </c>
    </row>
    <row r="124" customFormat="false" ht="15" hidden="false" customHeight="false" outlineLevel="0" collapsed="false">
      <c r="A124" s="29" t="s">
        <v>1024</v>
      </c>
      <c r="B124" s="60" t="s">
        <v>991</v>
      </c>
      <c r="C124" s="66" t="n">
        <f aca="false">SUM(E124:P124)</f>
        <v>3329.02775576555</v>
      </c>
      <c r="D124" s="66" t="n">
        <f aca="false">SUM(Q124:AB124)</f>
        <v>1931.14094423445</v>
      </c>
      <c r="E124" s="67" t="n">
        <f aca="false">IF(E$5="A",Inputs_Actuals!E162+Inputs_Actuals!E163,SUMPRODUCT((Engagement_Register!$C$7:$C$39="DIG")*Engagement_Register!$AC$7:$AC$39*Engagements!$E$9:$E$41))</f>
        <v>213.678</v>
      </c>
      <c r="F124" s="67" t="n">
        <f aca="false">IF(F$5="A",Inputs_Actuals!F162+Inputs_Actuals!F163,SUMPRODUCT((Engagement_Register!$C$7:$C$39="DIG")*Engagement_Register!$AC$7:$AC$39*Engagements!$F$9:$F$41))</f>
        <v>191.678</v>
      </c>
      <c r="G124" s="67" t="n">
        <f aca="false">IF(G$5="A",Inputs_Actuals!G162+Inputs_Actuals!G163,SUMPRODUCT((Engagement_Register!$C$7:$C$39="DIG")*Engagement_Register!$AC$7:$AC$39*Engagements!$G$9:$G$41))</f>
        <v>295.45</v>
      </c>
      <c r="H124" s="67" t="n">
        <f aca="false">IF(H$5="A",Inputs_Actuals!H162+Inputs_Actuals!H163,SUMPRODUCT((Engagement_Register!$C$7:$C$39="DIG")*Engagement_Register!$AC$7:$AC$39*Engagements!$H$9:$H$41))</f>
        <v>196.926</v>
      </c>
      <c r="I124" s="67" t="n">
        <f aca="false">IF(I$5="A",Inputs_Actuals!I162+Inputs_Actuals!I163,SUMPRODUCT((Engagement_Register!$C$7:$C$39="DIG")*Engagement_Register!$AC$7:$AC$39*Engagements!$I$9:$I$41))</f>
        <v>201.646</v>
      </c>
      <c r="J124" s="67" t="n">
        <f aca="false">IF(J$5="A",Inputs_Actuals!J162+Inputs_Actuals!J163,SUMPRODUCT((Engagement_Register!$C$7:$C$39="DIG")*Engagement_Register!$AC$7:$AC$39*Engagements!$J$9:$J$41))</f>
        <v>240.272</v>
      </c>
      <c r="K124" s="67" t="n">
        <f aca="false">IF(K$5="A",Inputs_Actuals!K162+Inputs_Actuals!K163,SUMPRODUCT((Engagement_Register!$C$7:$C$39="DIG")*Engagement_Register!$AC$7:$AC$39*Engagements!$K$9:$K$41))</f>
        <v>327.154</v>
      </c>
      <c r="L124" s="67" t="n">
        <f aca="false">IF(L$5="A",Inputs_Actuals!L162+Inputs_Actuals!L163,SUMPRODUCT((Engagement_Register!$C$7:$C$39="DIG")*Engagement_Register!$AC$7:$AC$39*Engagements!$L$9:$L$41))</f>
        <v>245.402</v>
      </c>
      <c r="M124" s="67" t="n">
        <f aca="false">IF(M$5="A",Inputs_Actuals!M162+Inputs_Actuals!M163,SUMPRODUCT((Engagement_Register!$C$7:$C$39="DIG")*Engagement_Register!$AC$7:$AC$39*Engagements!$M$9:$M$41))</f>
        <v>402.560005646228</v>
      </c>
      <c r="N124" s="67" t="n">
        <f aca="false">IF(N$5="A",Inputs_Actuals!N162+Inputs_Actuals!N163,SUMPRODUCT((Engagement_Register!$C$7:$C$39="DIG")*Engagement_Register!$AC$7:$AC$39*Engagements!$N$9:$N$41))</f>
        <v>388.266901571708</v>
      </c>
      <c r="O124" s="67" t="n">
        <f aca="false">IF(O$5="A",Inputs_Actuals!O162+Inputs_Actuals!O163,SUMPRODUCT((Engagement_Register!$C$7:$C$39="DIG")*Engagement_Register!$AC$7:$AC$39*Engagements!$O$9:$O$41))</f>
        <v>308.75626676332</v>
      </c>
      <c r="P124" s="67" t="n">
        <f aca="false">IF(P$5="A",Inputs_Actuals!P162+Inputs_Actuals!P163,SUMPRODUCT((Engagement_Register!$C$7:$C$39="DIG")*Engagement_Register!$AC$7:$AC$39*Engagements!$P$9:$P$41))</f>
        <v>317.23858178429</v>
      </c>
      <c r="Q124" s="67" t="n">
        <f aca="false">IF(Q$5="A",Inputs_Actuals!Q162+Inputs_Actuals!Q163,SUMPRODUCT((Engagement_Register!$C$7:$C$39="DIG")*Engagement_Register!$AC$7:$AC$39*Engagements!$Q$9:$Q$41))</f>
        <v>271.434080671051</v>
      </c>
      <c r="R124" s="67" t="n">
        <f aca="false">IF(R$5="A",Inputs_Actuals!R162+Inputs_Actuals!R163,SUMPRODUCT((Engagement_Register!$C$7:$C$39="DIG")*Engagement_Register!$AC$7:$AC$39*Engagements!$R$9:$R$41))</f>
        <v>249.013173748811</v>
      </c>
      <c r="S124" s="67" t="n">
        <f aca="false">IF(S$5="A",Inputs_Actuals!S162+Inputs_Actuals!S163,SUMPRODUCT((Engagement_Register!$C$7:$C$39="DIG")*Engagement_Register!$AC$7:$AC$39*Engagements!$S$9:$S$41))</f>
        <v>267.123222748724</v>
      </c>
      <c r="T124" s="67" t="n">
        <f aca="false">IF(T$5="A",Inputs_Actuals!T162+Inputs_Actuals!T163,SUMPRODUCT((Engagement_Register!$C$7:$C$39="DIG")*Engagement_Register!$AC$7:$AC$39*Engagements!$T$9:$T$41))</f>
        <v>154.899777460005</v>
      </c>
      <c r="U124" s="67" t="n">
        <f aca="false">IF(U$5="A",Inputs_Actuals!U162+Inputs_Actuals!U163,SUMPRODUCT((Engagement_Register!$C$7:$C$39="DIG")*Engagement_Register!$AC$7:$AC$39*Engagements!$U$9:$U$41))</f>
        <v>118.058749307355</v>
      </c>
      <c r="V124" s="67" t="n">
        <f aca="false">IF(V$5="A",Inputs_Actuals!V162+Inputs_Actuals!V163,SUMPRODUCT((Engagement_Register!$C$7:$C$39="DIG")*Engagement_Register!$AC$7:$AC$39*Engagements!$V$9:$V$41))</f>
        <v>129.708955223881</v>
      </c>
      <c r="W124" s="67" t="n">
        <f aca="false">IF(W$5="A",Inputs_Actuals!W162+Inputs_Actuals!W163,SUMPRODUCT((Engagement_Register!$C$7:$C$39="DIG")*Engagement_Register!$AC$7:$AC$39*Engagements!$W$9:$W$41))</f>
        <v>125.634328358209</v>
      </c>
      <c r="X124" s="67" t="n">
        <f aca="false">IF(X$5="A",Inputs_Actuals!X162+Inputs_Actuals!X163,SUMPRODUCT((Engagement_Register!$C$7:$C$39="DIG")*Engagement_Register!$AC$7:$AC$39*Engagements!$X$9:$X$41))</f>
        <v>110.014925373134</v>
      </c>
      <c r="Y124" s="67" t="n">
        <f aca="false">IF(Y$5="A",Inputs_Actuals!Y162+Inputs_Actuals!Y163,SUMPRODUCT((Engagement_Register!$C$7:$C$39="DIG")*Engagement_Register!$AC$7:$AC$39*Engagements!$Y$9:$Y$41))</f>
        <v>129.708955223881</v>
      </c>
      <c r="Z124" s="67" t="n">
        <f aca="false">IF(Z$5="A",Inputs_Actuals!Z162+Inputs_Actuals!Z163,SUMPRODUCT((Engagement_Register!$C$7:$C$39="DIG")*Engagement_Register!$AC$7:$AC$39*Engagements!$Z$9:$Z$41))</f>
        <v>118.164179104478</v>
      </c>
      <c r="AA124" s="67" t="n">
        <f aca="false">IF(AA$5="A",Inputs_Actuals!AA162+Inputs_Actuals!AA163,SUMPRODUCT((Engagement_Register!$C$7:$C$39="DIG")*Engagement_Register!$AC$7:$AC$39*Engagements!$AA$9:$AA$41))</f>
        <v>123.597014925373</v>
      </c>
      <c r="AB124" s="67" t="n">
        <f aca="false">IF(AB$5="A",Inputs_Actuals!AB162+Inputs_Actuals!AB163,SUMPRODUCT((Engagement_Register!$C$7:$C$39="DIG")*Engagement_Register!$AC$7:$AC$39*Engagements!$AB$9:$AB$41))</f>
        <v>133.783582089552</v>
      </c>
    </row>
    <row r="125" customFormat="false" ht="15" hidden="false" customHeight="false" outlineLevel="0" collapsed="false">
      <c r="A125" s="29" t="s">
        <v>1025</v>
      </c>
      <c r="B125" s="60" t="s">
        <v>993</v>
      </c>
      <c r="C125" s="66" t="n">
        <f aca="false">SUM(E125:P125)</f>
        <v>246.423370924724</v>
      </c>
      <c r="D125" s="66" t="n">
        <f aca="false">SUM(Q125:AB125)</f>
        <v>2724.23478881789</v>
      </c>
      <c r="E125" s="72" t="n">
        <f aca="false">0</f>
        <v>0</v>
      </c>
      <c r="F125" s="72" t="n">
        <f aca="false">0</f>
        <v>0</v>
      </c>
      <c r="G125" s="72" t="n">
        <f aca="false">0</f>
        <v>0</v>
      </c>
      <c r="H125" s="72" t="n">
        <f aca="false">0</f>
        <v>0</v>
      </c>
      <c r="I125" s="72" t="n">
        <f aca="false">0</f>
        <v>0</v>
      </c>
      <c r="J125" s="72" t="n">
        <f aca="false">0</f>
        <v>0</v>
      </c>
      <c r="K125" s="72" t="n">
        <f aca="false">0</f>
        <v>0</v>
      </c>
      <c r="L125" s="72" t="n">
        <f aca="false">0</f>
        <v>0</v>
      </c>
      <c r="M125" s="67" t="n">
        <f aca="false">IF(Assumptions!M$186&gt;=Assumptions!$C$152,MAX(0,Assumptions!$F$68*M123-M124)*Assumptions!$F$168,0)</f>
        <v>0</v>
      </c>
      <c r="N125" s="67" t="n">
        <f aca="false">IF(Assumptions!N$186&gt;=Assumptions!$C$152,MAX(0,Assumptions!$F$68*N123-N124)*Assumptions!$F$168,0)</f>
        <v>0</v>
      </c>
      <c r="O125" s="67" t="n">
        <f aca="false">IF(Assumptions!O$186&gt;=Assumptions!$C$152,MAX(0,Assumptions!$F$68*O123-O124)*Assumptions!$F$168,0)</f>
        <v>122.064946939344</v>
      </c>
      <c r="P125" s="67" t="n">
        <f aca="false">IF(Assumptions!P$186&gt;=Assumptions!$C$152,MAX(0,Assumptions!$F$68*P123-P124)*Assumptions!$F$168,0)</f>
        <v>124.35842398538</v>
      </c>
      <c r="Q125" s="67" t="n">
        <f aca="false">IF(Assumptions!Q$186&gt;=Assumptions!$C$152,MAX(0,Assumptions!$F$68*Q123-Q124)*Assumptions!$F$168,0)</f>
        <v>106.517592186285</v>
      </c>
      <c r="R125" s="67" t="n">
        <f aca="false">IF(Assumptions!R$186&gt;=Assumptions!$C$152,MAX(0,Assumptions!$F$68*R123-R124)*Assumptions!$F$168,0)</f>
        <v>134.631999577978</v>
      </c>
      <c r="S125" s="67" t="n">
        <f aca="false">IF(Assumptions!S$186&gt;=Assumptions!$C$152,MAX(0,Assumptions!$F$68*S123-S124)*Assumptions!$F$168,0)</f>
        <v>144.433526226565</v>
      </c>
      <c r="T125" s="67" t="n">
        <f aca="false">IF(Assumptions!T$186&gt;=Assumptions!$C$152,MAX(0,Assumptions!$F$68*T123-T124)*Assumptions!$F$168,0)</f>
        <v>250.396369811716</v>
      </c>
      <c r="U125" s="67" t="n">
        <f aca="false">IF(Assumptions!U$186&gt;=Assumptions!$C$152,MAX(0,Assumptions!$F$68*U123-U124)*Assumptions!$F$168,0)</f>
        <v>190.841888824855</v>
      </c>
      <c r="V125" s="67" t="n">
        <f aca="false">IF(Assumptions!V$186&gt;=Assumptions!$C$152,MAX(0,Assumptions!$F$68*V123-V124)*Assumptions!$F$168,0)</f>
        <v>282.687907388032</v>
      </c>
      <c r="W125" s="67" t="n">
        <f aca="false">IF(Assumptions!W$186&gt;=Assumptions!$C$152,MAX(0,Assumptions!$F$68*W123-W124)*Assumptions!$F$168,0)</f>
        <v>273.807705795064</v>
      </c>
      <c r="X125" s="67" t="n">
        <f aca="false">IF(Assumptions!X$186&gt;=Assumptions!$C$152,MAX(0,Assumptions!$F$68*X123-X124)*Assumptions!$F$168,0)</f>
        <v>239.766758978265</v>
      </c>
      <c r="Y125" s="67" t="n">
        <f aca="false">IF(Assumptions!Y$186&gt;=Assumptions!$C$152,MAX(0,Assumptions!$F$68*Y123-Y124)*Assumptions!$F$168,0)</f>
        <v>282.687969263934</v>
      </c>
      <c r="Z125" s="67" t="n">
        <f aca="false">IF(Assumptions!Z$186&gt;=Assumptions!$C$152,MAX(0,Assumptions!$F$68*Z123-Z124)*Assumptions!$F$168,0)</f>
        <v>257.527259253112</v>
      </c>
      <c r="AA125" s="67" t="n">
        <f aca="false">IF(Assumptions!AA$186&gt;=Assumptions!$C$152,MAX(0,Assumptions!$F$68*AA123-AA124)*Assumptions!$F$168,0)</f>
        <v>269.367592859681</v>
      </c>
      <c r="AB125" s="67" t="n">
        <f aca="false">IF(Assumptions!AB$186&gt;=Assumptions!$C$152,MAX(0,Assumptions!$F$68*AB123-AB124)*Assumptions!$F$168,0)</f>
        <v>291.568218652401</v>
      </c>
    </row>
    <row r="126" customFormat="false" ht="15" hidden="false" customHeight="false" outlineLevel="0" collapsed="false">
      <c r="A126" s="29" t="s">
        <v>1026</v>
      </c>
      <c r="B126" s="60" t="s">
        <v>995</v>
      </c>
      <c r="C126" s="66" t="n">
        <f aca="false">SUM(E126:P126)</f>
        <v>3575.45112669027</v>
      </c>
      <c r="D126" s="66" t="n">
        <f aca="false">SUM(Q126:AB126)</f>
        <v>4655.37573305234</v>
      </c>
      <c r="E126" s="72" t="n">
        <f aca="false">E124+E125</f>
        <v>213.678</v>
      </c>
      <c r="F126" s="72" t="n">
        <f aca="false">F124+F125</f>
        <v>191.678</v>
      </c>
      <c r="G126" s="72" t="n">
        <f aca="false">G124+G125</f>
        <v>295.45</v>
      </c>
      <c r="H126" s="72" t="n">
        <f aca="false">H124+H125</f>
        <v>196.926</v>
      </c>
      <c r="I126" s="72" t="n">
        <f aca="false">I124+I125</f>
        <v>201.646</v>
      </c>
      <c r="J126" s="72" t="n">
        <f aca="false">J124+J125</f>
        <v>240.272</v>
      </c>
      <c r="K126" s="72" t="n">
        <f aca="false">K124+K125</f>
        <v>327.154</v>
      </c>
      <c r="L126" s="72" t="n">
        <f aca="false">L124+L125</f>
        <v>245.402</v>
      </c>
      <c r="M126" s="72" t="n">
        <f aca="false">M124+M125</f>
        <v>402.560005646228</v>
      </c>
      <c r="N126" s="72" t="n">
        <f aca="false">N124+N125</f>
        <v>388.266901571708</v>
      </c>
      <c r="O126" s="72" t="n">
        <f aca="false">O124+O125</f>
        <v>430.821213702664</v>
      </c>
      <c r="P126" s="72" t="n">
        <f aca="false">P124+P125</f>
        <v>441.597005769671</v>
      </c>
      <c r="Q126" s="72" t="n">
        <f aca="false">Q124+Q125</f>
        <v>377.951672857335</v>
      </c>
      <c r="R126" s="72" t="n">
        <f aca="false">R124+R125</f>
        <v>383.645173326788</v>
      </c>
      <c r="S126" s="72" t="n">
        <f aca="false">S124+S125</f>
        <v>411.556748975289</v>
      </c>
      <c r="T126" s="72" t="n">
        <f aca="false">T124+T125</f>
        <v>405.296147271721</v>
      </c>
      <c r="U126" s="72" t="n">
        <f aca="false">U124+U125</f>
        <v>308.900638132211</v>
      </c>
      <c r="V126" s="72" t="n">
        <f aca="false">V124+V125</f>
        <v>412.396862611912</v>
      </c>
      <c r="W126" s="72" t="n">
        <f aca="false">W124+W125</f>
        <v>399.442034153273</v>
      </c>
      <c r="X126" s="72" t="n">
        <f aca="false">X124+X125</f>
        <v>349.781684351399</v>
      </c>
      <c r="Y126" s="72" t="n">
        <f aca="false">Y124+Y125</f>
        <v>412.396924487815</v>
      </c>
      <c r="Z126" s="72" t="n">
        <f aca="false">Z124+Z125</f>
        <v>375.69143835759</v>
      </c>
      <c r="AA126" s="72" t="n">
        <f aca="false">AA124+AA125</f>
        <v>392.964607785054</v>
      </c>
      <c r="AB126" s="72" t="n">
        <f aca="false">AB124+AB125</f>
        <v>425.351800741953</v>
      </c>
    </row>
    <row r="127" customFormat="false" ht="15" hidden="false" customHeight="false" outlineLevel="0" collapsed="false">
      <c r="A127" s="29" t="s">
        <v>1027</v>
      </c>
      <c r="B127" s="60" t="s">
        <v>997</v>
      </c>
      <c r="C127" s="66" t="n">
        <f aca="false">SUM(E127:P127)</f>
        <v>3554.34512669027</v>
      </c>
      <c r="D127" s="66" t="n">
        <f aca="false">SUM(Q127:AB127)</f>
        <v>4655.37573305234</v>
      </c>
      <c r="E127" s="67" t="n">
        <f aca="false">IF(E$5="A",Inputs_Actuals!E162,MIN(E126,E123*Assumptions!$C$83))</f>
        <v>213.6</v>
      </c>
      <c r="F127" s="67" t="n">
        <f aca="false">IF(F$5="A",Inputs_Actuals!F162,MIN(F126,F123*Assumptions!$C$83))</f>
        <v>191.6</v>
      </c>
      <c r="G127" s="67" t="n">
        <f aca="false">IF(G$5="A",Inputs_Actuals!G162,MIN(G126,G123*Assumptions!$C$83))</f>
        <v>274.7</v>
      </c>
      <c r="H127" s="67" t="n">
        <f aca="false">IF(H$5="A",Inputs_Actuals!H162,MIN(H126,H123*Assumptions!$C$83))</f>
        <v>196.9</v>
      </c>
      <c r="I127" s="67" t="n">
        <f aca="false">IF(I$5="A",Inputs_Actuals!I162,MIN(I126,I123*Assumptions!$C$83))</f>
        <v>201.6</v>
      </c>
      <c r="J127" s="67" t="n">
        <f aca="false">IF(J$5="A",Inputs_Actuals!J162,MIN(J126,J123*Assumptions!$C$83))</f>
        <v>240.2</v>
      </c>
      <c r="K127" s="67" t="n">
        <f aca="false">IF(K$5="A",Inputs_Actuals!K162,MIN(K126,K123*Assumptions!$C$83))</f>
        <v>327.1</v>
      </c>
      <c r="L127" s="67" t="n">
        <f aca="false">IF(L$5="A",Inputs_Actuals!L162,MIN(L126,L123*Assumptions!$C$83))</f>
        <v>245.4</v>
      </c>
      <c r="M127" s="67" t="n">
        <f aca="false">IF(M$5="A",Inputs_Actuals!M162,MIN(M126,M123*Assumptions!$C$83))</f>
        <v>402.560005646228</v>
      </c>
      <c r="N127" s="67" t="n">
        <f aca="false">IF(N$5="A",Inputs_Actuals!N162,MIN(N126,N123*Assumptions!$C$83))</f>
        <v>388.266901571708</v>
      </c>
      <c r="O127" s="67" t="n">
        <f aca="false">IF(O$5="A",Inputs_Actuals!O162,MIN(O126,O123*Assumptions!$C$83))</f>
        <v>430.821213702664</v>
      </c>
      <c r="P127" s="67" t="n">
        <f aca="false">IF(P$5="A",Inputs_Actuals!P162,MIN(P126,P123*Assumptions!$C$83))</f>
        <v>441.597005769671</v>
      </c>
      <c r="Q127" s="67" t="n">
        <f aca="false">IF(Q$5="A",Inputs_Actuals!Q162,MIN(Q126,Q123*Assumptions!$C$83))</f>
        <v>377.951672857335</v>
      </c>
      <c r="R127" s="67" t="n">
        <f aca="false">IF(R$5="A",Inputs_Actuals!R162,MIN(R126,R123*Assumptions!$C$83))</f>
        <v>383.645173326788</v>
      </c>
      <c r="S127" s="67" t="n">
        <f aca="false">IF(S$5="A",Inputs_Actuals!S162,MIN(S126,S123*Assumptions!$C$83))</f>
        <v>411.556748975289</v>
      </c>
      <c r="T127" s="67" t="n">
        <f aca="false">IF(T$5="A",Inputs_Actuals!T162,MIN(T126,T123*Assumptions!$C$83))</f>
        <v>405.296147271721</v>
      </c>
      <c r="U127" s="67" t="n">
        <f aca="false">IF(U$5="A",Inputs_Actuals!U162,MIN(U126,U123*Assumptions!$C$83))</f>
        <v>308.900638132211</v>
      </c>
      <c r="V127" s="67" t="n">
        <f aca="false">IF(V$5="A",Inputs_Actuals!V162,MIN(V126,V123*Assumptions!$C$83))</f>
        <v>412.396862611912</v>
      </c>
      <c r="W127" s="67" t="n">
        <f aca="false">IF(W$5="A",Inputs_Actuals!W162,MIN(W126,W123*Assumptions!$C$83))</f>
        <v>399.442034153273</v>
      </c>
      <c r="X127" s="67" t="n">
        <f aca="false">IF(X$5="A",Inputs_Actuals!X162,MIN(X126,X123*Assumptions!$C$83))</f>
        <v>349.781684351399</v>
      </c>
      <c r="Y127" s="67" t="n">
        <f aca="false">IF(Y$5="A",Inputs_Actuals!Y162,MIN(Y126,Y123*Assumptions!$C$83))</f>
        <v>412.396924487815</v>
      </c>
      <c r="Z127" s="67" t="n">
        <f aca="false">IF(Z$5="A",Inputs_Actuals!Z162,MIN(Z126,Z123*Assumptions!$C$83))</f>
        <v>375.69143835759</v>
      </c>
      <c r="AA127" s="67" t="n">
        <f aca="false">IF(AA$5="A",Inputs_Actuals!AA162,MIN(AA126,AA123*Assumptions!$C$83))</f>
        <v>392.964607785054</v>
      </c>
      <c r="AB127" s="67" t="n">
        <f aca="false">IF(AB$5="A",Inputs_Actuals!AB162,MIN(AB126,AB123*Assumptions!$C$83))</f>
        <v>425.351800741953</v>
      </c>
    </row>
    <row r="128" customFormat="false" ht="15" hidden="false" customHeight="false" outlineLevel="0" collapsed="false">
      <c r="A128" s="29" t="s">
        <v>1028</v>
      </c>
      <c r="B128" s="60" t="s">
        <v>999</v>
      </c>
      <c r="C128" s="66" t="n">
        <f aca="false">SUM(E128:P128)</f>
        <v>21.106</v>
      </c>
      <c r="D128" s="66" t="n">
        <f aca="false">SUM(Q128:AB128)</f>
        <v>0</v>
      </c>
      <c r="E128" s="67" t="n">
        <f aca="false">IF(E$5="A",Inputs_Actuals!E163,E126-E127)</f>
        <v>0.078</v>
      </c>
      <c r="F128" s="67" t="n">
        <f aca="false">IF(F$5="A",Inputs_Actuals!F163,F126-F127)</f>
        <v>0.078</v>
      </c>
      <c r="G128" s="67" t="n">
        <f aca="false">IF(G$5="A",Inputs_Actuals!G163,G126-G127)</f>
        <v>20.75</v>
      </c>
      <c r="H128" s="67" t="n">
        <f aca="false">IF(H$5="A",Inputs_Actuals!H163,H126-H127)</f>
        <v>0.026</v>
      </c>
      <c r="I128" s="67" t="n">
        <f aca="false">IF(I$5="A",Inputs_Actuals!I163,I126-I127)</f>
        <v>0.046</v>
      </c>
      <c r="J128" s="67" t="n">
        <f aca="false">IF(J$5="A",Inputs_Actuals!J163,J126-J127)</f>
        <v>0.072</v>
      </c>
      <c r="K128" s="67" t="n">
        <f aca="false">IF(K$5="A",Inputs_Actuals!K163,K126-K127)</f>
        <v>0.054</v>
      </c>
      <c r="L128" s="67" t="n">
        <f aca="false">IF(L$5="A",Inputs_Actuals!L163,L126-L127)</f>
        <v>0.002</v>
      </c>
      <c r="M128" s="67" t="n">
        <f aca="false">IF(M$5="A",Inputs_Actuals!M163,M126-M127)</f>
        <v>0</v>
      </c>
      <c r="N128" s="67" t="n">
        <f aca="false">IF(N$5="A",Inputs_Actuals!N163,N126-N127)</f>
        <v>0</v>
      </c>
      <c r="O128" s="67" t="n">
        <f aca="false">IF(O$5="A",Inputs_Actuals!O163,O126-O127)</f>
        <v>0</v>
      </c>
      <c r="P128" s="67" t="n">
        <f aca="false">IF(P$5="A",Inputs_Actuals!P163,P126-P127)</f>
        <v>0</v>
      </c>
      <c r="Q128" s="67" t="n">
        <f aca="false">IF(Q$5="A",Inputs_Actuals!Q163,Q126-Q127)</f>
        <v>0</v>
      </c>
      <c r="R128" s="67" t="n">
        <f aca="false">IF(R$5="A",Inputs_Actuals!R163,R126-R127)</f>
        <v>0</v>
      </c>
      <c r="S128" s="67" t="n">
        <f aca="false">IF(S$5="A",Inputs_Actuals!S163,S126-S127)</f>
        <v>0</v>
      </c>
      <c r="T128" s="67" t="n">
        <f aca="false">IF(T$5="A",Inputs_Actuals!T163,T126-T127)</f>
        <v>0</v>
      </c>
      <c r="U128" s="67" t="n">
        <f aca="false">IF(U$5="A",Inputs_Actuals!U163,U126-U127)</f>
        <v>0</v>
      </c>
      <c r="V128" s="67" t="n">
        <f aca="false">IF(V$5="A",Inputs_Actuals!V163,V126-V127)</f>
        <v>0</v>
      </c>
      <c r="W128" s="67" t="n">
        <f aca="false">IF(W$5="A",Inputs_Actuals!W163,W126-W127)</f>
        <v>0</v>
      </c>
      <c r="X128" s="67" t="n">
        <f aca="false">IF(X$5="A",Inputs_Actuals!X163,X126-X127)</f>
        <v>0</v>
      </c>
      <c r="Y128" s="67" t="n">
        <f aca="false">IF(Y$5="A",Inputs_Actuals!Y163,Y126-Y127)</f>
        <v>0</v>
      </c>
      <c r="Z128" s="67" t="n">
        <f aca="false">IF(Z$5="A",Inputs_Actuals!Z163,Z126-Z127)</f>
        <v>0</v>
      </c>
      <c r="AA128" s="67" t="n">
        <f aca="false">IF(AA$5="A",Inputs_Actuals!AA163,AA126-AA127)</f>
        <v>0</v>
      </c>
      <c r="AB128" s="67" t="n">
        <f aca="false">IF(AB$5="A",Inputs_Actuals!AB163,AB126-AB127)</f>
        <v>0</v>
      </c>
    </row>
    <row r="129" customFormat="false" ht="15" hidden="false" customHeight="false" outlineLevel="0" collapsed="false">
      <c r="A129" s="29" t="s">
        <v>1029</v>
      </c>
      <c r="B129" s="60" t="s">
        <v>1001</v>
      </c>
      <c r="C129" s="63" t="n">
        <f aca="false">IF(C123=0,0,C127/C123)</f>
        <v>0.707288344934917</v>
      </c>
      <c r="D129" s="63" t="n">
        <f aca="false">IF(D123=0,0,D127/D123)</f>
        <v>0.715348075759868</v>
      </c>
      <c r="E129" s="64" t="n">
        <f aca="false">IF(E123=0,0,E127/E123)</f>
        <v>0.785294117647059</v>
      </c>
      <c r="F129" s="64" t="n">
        <f aca="false">IF(F123=0,0,F127/F123)</f>
        <v>0.725757575757576</v>
      </c>
      <c r="G129" s="64" t="n">
        <f aca="false">IF(G123=0,0,G127/G123)</f>
        <v>0.918114973262032</v>
      </c>
      <c r="H129" s="64" t="n">
        <f aca="false">IF(H123=0,0,H127/H123)</f>
        <v>0.745833333333333</v>
      </c>
      <c r="I129" s="64" t="n">
        <f aca="false">IF(I123=0,0,I127/I123)</f>
        <v>0.595744680851064</v>
      </c>
      <c r="J129" s="64" t="n">
        <f aca="false">IF(J123=0,0,J127/J123)</f>
        <v>0.552946593001842</v>
      </c>
      <c r="K129" s="64" t="n">
        <f aca="false">IF(K123=0,0,K127/K123)</f>
        <v>0.698931623931624</v>
      </c>
      <c r="L129" s="64" t="n">
        <f aca="false">IF(L123=0,0,L127/L123)</f>
        <v>0.672697368421053</v>
      </c>
      <c r="M129" s="64" t="n">
        <f aca="false">IF(M123=0,0,M127/M123)</f>
        <v>0.664871927009147</v>
      </c>
      <c r="N129" s="64" t="n">
        <f aca="false">IF(N123=0,0,N127/N123)</f>
        <v>0.674087355091344</v>
      </c>
      <c r="O129" s="64" t="n">
        <f aca="false">IF(O123=0,0,O127/O123)</f>
        <v>0.76575919622646</v>
      </c>
      <c r="P129" s="64" t="n">
        <f aca="false">IF(P123=0,0,P127/P123)</f>
        <v>0.76606685215442</v>
      </c>
      <c r="Q129" s="64" t="n">
        <f aca="false">IF(Q123=0,0,Q127/Q123)</f>
        <v>0.766027859510573</v>
      </c>
      <c r="R129" s="64" t="n">
        <f aca="false">IF(R123=0,0,R127/R123)</f>
        <v>0.753862089520105</v>
      </c>
      <c r="S129" s="64" t="n">
        <f aca="false">IF(S123=0,0,S127/S123)</f>
        <v>0.753859327302835</v>
      </c>
      <c r="T129" s="64" t="n">
        <f aca="false">IF(T123=0,0,T127/T123)</f>
        <v>0.71029327196915</v>
      </c>
      <c r="U129" s="64" t="n">
        <f aca="false">IF(U123=0,0,U127/U123)</f>
        <v>0.710293414661232</v>
      </c>
      <c r="V129" s="64" t="n">
        <f aca="false">IF(V123=0,0,V127/V123)</f>
        <v>0.700035687916743</v>
      </c>
      <c r="W129" s="64" t="n">
        <f aca="false">IF(W123=0,0,W127/W123)</f>
        <v>0.700035682410252</v>
      </c>
      <c r="X129" s="64" t="n">
        <f aca="false">IF(X123=0,0,X127/X123)</f>
        <v>0.700035680905449</v>
      </c>
      <c r="Y129" s="64" t="n">
        <f aca="false">IF(Y123=0,0,Y127/Y123)</f>
        <v>0.700035680866124</v>
      </c>
      <c r="Z129" s="64" t="n">
        <f aca="false">IF(Z123=0,0,Z127/Z123)</f>
        <v>0.700035680954257</v>
      </c>
      <c r="AA129" s="64" t="n">
        <f aca="false">IF(AA123=0,0,AA127/AA123)</f>
        <v>0.700035680972457</v>
      </c>
      <c r="AB129" s="64" t="n">
        <f aca="false">IF(AB123=0,0,AB127/AB123)</f>
        <v>0.700035680971619</v>
      </c>
    </row>
    <row r="130" customFormat="false" ht="15" hidden="false" customHeight="false" outlineLevel="0" collapsed="false">
      <c r="A130" s="29" t="s">
        <v>1048</v>
      </c>
      <c r="B130" s="60"/>
      <c r="C130" s="66" t="n">
        <f aca="false">SUM(E130:P130)</f>
        <v>16288.98013034</v>
      </c>
      <c r="D130" s="66" t="n">
        <f aca="false">SUM(Q130:AB130)</f>
        <v>18857.4086320874</v>
      </c>
      <c r="E130" s="72" t="n">
        <f aca="false">E95+E102+E109+E116+E123</f>
        <v>1224</v>
      </c>
      <c r="F130" s="72" t="n">
        <f aca="false">F95+F102+F109+F116+F123</f>
        <v>1188</v>
      </c>
      <c r="G130" s="72" t="n">
        <f aca="false">G95+G102+G109+G116+G123</f>
        <v>1346.4</v>
      </c>
      <c r="H130" s="72" t="n">
        <f aca="false">H95+H102+H109+H116+H123</f>
        <v>1188</v>
      </c>
      <c r="I130" s="72" t="n">
        <f aca="false">I95+I102+I109+I116+I123</f>
        <v>1128</v>
      </c>
      <c r="J130" s="72" t="n">
        <f aca="false">J95+J102+J109+J116+J123</f>
        <v>1448</v>
      </c>
      <c r="K130" s="72" t="n">
        <f aca="false">K95+K102+K109+K116+K123</f>
        <v>1404</v>
      </c>
      <c r="L130" s="72" t="n">
        <f aca="false">L95+L102+L109+L116+L123</f>
        <v>1094.4</v>
      </c>
      <c r="M130" s="72" t="n">
        <f aca="false">M95+M102+M109+M116+M123</f>
        <v>1515.26666666667</v>
      </c>
      <c r="N130" s="72" t="n">
        <f aca="false">N95+N102+N109+N116+N123</f>
        <v>1592.96466666667</v>
      </c>
      <c r="O130" s="72" t="n">
        <f aca="false">O95+O102+O109+O116+O123</f>
        <v>1560.17064907407</v>
      </c>
      <c r="P130" s="72" t="n">
        <f aca="false">P95+P102+P109+P116+P123</f>
        <v>1599.77814793258</v>
      </c>
      <c r="Q130" s="72" t="n">
        <f aca="false">Q95+Q102+Q109+Q116+Q123</f>
        <v>1367.52476333591</v>
      </c>
      <c r="R130" s="72" t="n">
        <f aca="false">R95+R102+R109+R116+R123</f>
        <v>1410.47449643223</v>
      </c>
      <c r="S130" s="72" t="n">
        <f aca="false">S95+S102+S109+S116+S123</f>
        <v>1513.10824166927</v>
      </c>
      <c r="T130" s="72" t="n">
        <f aca="false">T95+T102+T109+T116+T123</f>
        <v>1677.71225718303</v>
      </c>
      <c r="U130" s="72" t="n">
        <f aca="false">U95+U102+U109+U116+U123</f>
        <v>1278.0749033943</v>
      </c>
      <c r="V130" s="72" t="n">
        <f aca="false">V95+V102+V109+V116+V123</f>
        <v>1730.47130762249</v>
      </c>
      <c r="W130" s="72" t="n">
        <f aca="false">W95+W102+W109+W116+W123</f>
        <v>1675.32245961797</v>
      </c>
      <c r="X130" s="72" t="n">
        <f aca="false">X95+X102+X109+X116+X123</f>
        <v>1467.05658277412</v>
      </c>
      <c r="Y130" s="72" t="n">
        <f aca="false">Y95+Y102+Y109+Y116+Y123</f>
        <v>1729.69128638589</v>
      </c>
      <c r="Z130" s="72" t="n">
        <f aca="false">Z95+Z102+Z109+Z116+Z123</f>
        <v>1575.74562781314</v>
      </c>
      <c r="AA130" s="72" t="n">
        <f aca="false">AA95+AA102+AA109+AA116+AA123</f>
        <v>1648.19338041329</v>
      </c>
      <c r="AB130" s="72" t="n">
        <f aca="false">AB95+AB102+AB109+AB116+AB123</f>
        <v>1784.03332544576</v>
      </c>
    </row>
    <row r="131" customFormat="false" ht="15" hidden="false" customHeight="false" outlineLevel="0" collapsed="false">
      <c r="A131" s="29" t="s">
        <v>1049</v>
      </c>
      <c r="B131" s="60"/>
      <c r="C131" s="66" t="n">
        <f aca="false">SUM(E131:P131)</f>
        <v>293.147262834776</v>
      </c>
      <c r="D131" s="66" t="n">
        <f aca="false">SUM(Q131:AB131)</f>
        <v>5425.10271719392</v>
      </c>
      <c r="E131" s="72" t="n">
        <f aca="false">E97+E104+E111+E118+E125</f>
        <v>0</v>
      </c>
      <c r="F131" s="72" t="n">
        <f aca="false">F97+F104+F111+F118+F125</f>
        <v>0</v>
      </c>
      <c r="G131" s="72" t="n">
        <f aca="false">G97+G104+G111+G118+G125</f>
        <v>0</v>
      </c>
      <c r="H131" s="72" t="n">
        <f aca="false">H97+H104+H111+H118+H125</f>
        <v>0</v>
      </c>
      <c r="I131" s="72" t="n">
        <f aca="false">I97+I104+I111+I118+I125</f>
        <v>0</v>
      </c>
      <c r="J131" s="72" t="n">
        <f aca="false">J97+J104+J111+J118+J125</f>
        <v>0</v>
      </c>
      <c r="K131" s="72" t="n">
        <f aca="false">K97+K104+K111+K118+K125</f>
        <v>0</v>
      </c>
      <c r="L131" s="72" t="n">
        <f aca="false">L97+L104+L111+L118+L125</f>
        <v>0</v>
      </c>
      <c r="M131" s="72" t="n">
        <f aca="false">M97+M104+M111+M118+M125</f>
        <v>0</v>
      </c>
      <c r="N131" s="72" t="n">
        <f aca="false">N97+N104+N111+N118+N125</f>
        <v>0</v>
      </c>
      <c r="O131" s="72" t="n">
        <f aca="false">O97+O104+O111+O118+O125</f>
        <v>145.108498375271</v>
      </c>
      <c r="P131" s="72" t="n">
        <f aca="false">P97+P104+P111+P118+P125</f>
        <v>148.038764459505</v>
      </c>
      <c r="Q131" s="72" t="n">
        <f aca="false">Q97+Q104+Q111+Q118+Q125</f>
        <v>126.780952808553</v>
      </c>
      <c r="R131" s="72" t="n">
        <f aca="false">R97+R104+R111+R118+R125</f>
        <v>167.163812470259</v>
      </c>
      <c r="S131" s="72" t="n">
        <f aca="false">S97+S104+S111+S118+S125</f>
        <v>179.331259973875</v>
      </c>
      <c r="T131" s="72" t="n">
        <f aca="false">T97+T104+T111+T118+T125</f>
        <v>515.924929989348</v>
      </c>
      <c r="U131" s="72" t="n">
        <f aca="false">U97+U104+U111+U118+U125</f>
        <v>392.849966749227</v>
      </c>
      <c r="V131" s="72" t="n">
        <f aca="false">V97+V104+V111+V118+V125</f>
        <v>602.758601284679</v>
      </c>
      <c r="W131" s="72" t="n">
        <f aca="false">W97+W104+W111+W118+W125</f>
        <v>583.350672750658</v>
      </c>
      <c r="X131" s="72" t="n">
        <f aca="false">X97+X104+X111+X118+X125</f>
        <v>510.836470943464</v>
      </c>
      <c r="Y131" s="72" t="n">
        <f aca="false">Y97+Y104+Y111+Y118+Y125</f>
        <v>602.290584638324</v>
      </c>
      <c r="Z131" s="72" t="n">
        <f aca="false">Z97+Z104+Z111+Z118+Z125</f>
        <v>548.687122430481</v>
      </c>
      <c r="AA131" s="72" t="n">
        <f aca="false">AA97+AA104+AA111+AA118+AA125</f>
        <v>573.913923171468</v>
      </c>
      <c r="AB131" s="72" t="n">
        <f aca="false">AB97+AB104+AB111+AB118+AB125</f>
        <v>621.214419983583</v>
      </c>
    </row>
    <row r="132" customFormat="false" ht="15" hidden="false" customHeight="false" outlineLevel="0" collapsed="false">
      <c r="A132" s="29" t="s">
        <v>1050</v>
      </c>
      <c r="B132" s="60"/>
      <c r="C132" s="66" t="n">
        <f aca="false">SUM(E132:P132)</f>
        <v>12264.6776048324</v>
      </c>
      <c r="D132" s="66" t="n">
        <f aca="false">SUM(Q132:AB132)</f>
        <v>12972.9873751963</v>
      </c>
      <c r="E132" s="72" t="n">
        <f aca="false">E98+E105+E112+E119+E126</f>
        <v>836.7</v>
      </c>
      <c r="F132" s="72" t="n">
        <f aca="false">F98+F105+F112+F119+F126</f>
        <v>746.7</v>
      </c>
      <c r="G132" s="72" t="n">
        <f aca="false">G98+G105+G112+G119+G126</f>
        <v>1067.9</v>
      </c>
      <c r="H132" s="72" t="n">
        <f aca="false">H98+H105+H112+H119+H126</f>
        <v>725.5</v>
      </c>
      <c r="I132" s="72" t="n">
        <f aca="false">I98+I105+I112+I119+I126</f>
        <v>757.3</v>
      </c>
      <c r="J132" s="72" t="n">
        <f aca="false">J98+J105+J112+J119+J126</f>
        <v>888.9</v>
      </c>
      <c r="K132" s="72" t="n">
        <f aca="false">K98+K105+K112+K119+K126</f>
        <v>1172.4</v>
      </c>
      <c r="L132" s="72" t="n">
        <f aca="false">L98+L105+L112+L119+L126</f>
        <v>871.8</v>
      </c>
      <c r="M132" s="72" t="n">
        <f aca="false">M98+M105+M112+M119+M126</f>
        <v>1361.12369906902</v>
      </c>
      <c r="N132" s="72" t="n">
        <f aca="false">N98+N105+N112+N119+N126</f>
        <v>1312.59371381349</v>
      </c>
      <c r="O132" s="72" t="n">
        <f aca="false">O98+O105+O112+O119+O126</f>
        <v>1245.30240921253</v>
      </c>
      <c r="P132" s="72" t="n">
        <f aca="false">P98+P105+P112+P119+P126</f>
        <v>1278.45778273735</v>
      </c>
      <c r="Q132" s="72" t="n">
        <f aca="false">Q98+Q105+Q112+Q119+Q126</f>
        <v>1093.98439090724</v>
      </c>
      <c r="R132" s="72" t="n">
        <f aca="false">R98+R105+R112+R119+R126</f>
        <v>1073.7005287648</v>
      </c>
      <c r="S132" s="72" t="n">
        <f aca="false">S98+S105+S112+S119+S126</f>
        <v>1151.79791927165</v>
      </c>
      <c r="T132" s="72" t="n">
        <f aca="false">T98+T105+T112+T119+T126</f>
        <v>1125.47614844795</v>
      </c>
      <c r="U132" s="72" t="n">
        <f aca="false">U98+U105+U112+U119+U126</f>
        <v>857.426841358218</v>
      </c>
      <c r="V132" s="72" t="n">
        <f aca="false">V98+V105+V112+V119+V126</f>
        <v>1143.21258138418</v>
      </c>
      <c r="W132" s="72" t="n">
        <f aca="false">W98+W105+W112+W119+W126</f>
        <v>1106.82704090986</v>
      </c>
      <c r="X132" s="72" t="n">
        <f aca="false">X98+X105+X112+X119+X126</f>
        <v>969.231993331524</v>
      </c>
      <c r="Y132" s="72" t="n">
        <f aca="false">Y98+Y105+Y112+Y119+Y126</f>
        <v>1142.74456473783</v>
      </c>
      <c r="Z132" s="72" t="n">
        <f aca="false">Z98+Z105+Z112+Z119+Z126</f>
        <v>1041.03786869914</v>
      </c>
      <c r="AA132" s="72" t="n">
        <f aca="false">AA98+AA105+AA112+AA119+AA126</f>
        <v>1088.90148536052</v>
      </c>
      <c r="AB132" s="72" t="n">
        <f aca="false">AB98+AB105+AB112+AB119+AB126</f>
        <v>1178.64601202338</v>
      </c>
    </row>
    <row r="133" customFormat="false" ht="15" hidden="false" customHeight="false" outlineLevel="0" collapsed="false">
      <c r="A133" s="68" t="s">
        <v>1051</v>
      </c>
      <c r="B133" s="69"/>
      <c r="C133" s="113" t="n">
        <f aca="false">SUM(E133:P133)</f>
        <v>11483.8706287098</v>
      </c>
      <c r="D133" s="113" t="n">
        <f aca="false">SUM(Q133:AB133)</f>
        <v>12935.9934979874</v>
      </c>
      <c r="E133" s="113" t="n">
        <f aca="false">E99+E106+E113+E120+E127</f>
        <v>836.4</v>
      </c>
      <c r="F133" s="113" t="n">
        <f aca="false">F99+F106+F113+F120+F127</f>
        <v>746.4</v>
      </c>
      <c r="G133" s="113" t="n">
        <f aca="false">G99+G106+G113+G120+G127</f>
        <v>1045.3</v>
      </c>
      <c r="H133" s="113" t="n">
        <f aca="false">H99+H106+H113+H120+H127</f>
        <v>725.3</v>
      </c>
      <c r="I133" s="113" t="n">
        <f aca="false">I99+I106+I113+I120+I127</f>
        <v>757</v>
      </c>
      <c r="J133" s="113" t="n">
        <f aca="false">J99+J106+J113+J120+J127</f>
        <v>888.5</v>
      </c>
      <c r="K133" s="113" t="n">
        <f aca="false">K99+K106+K113+K120+K127</f>
        <v>1007.6</v>
      </c>
      <c r="L133" s="113" t="n">
        <f aca="false">L99+L106+L113+L120+L127</f>
        <v>763.2</v>
      </c>
      <c r="M133" s="113" t="n">
        <f aca="false">M99+M106+M113+M120+M127</f>
        <v>1090.98736254382</v>
      </c>
      <c r="N133" s="113" t="n">
        <f aca="false">N99+N106+N113+N120+N127</f>
        <v>1178.70039718797</v>
      </c>
      <c r="O133" s="113" t="n">
        <f aca="false">O99+O106+O113+O120+O127</f>
        <v>1206.93165598257</v>
      </c>
      <c r="P133" s="113" t="n">
        <f aca="false">P99+P106+P113+P120+P127</f>
        <v>1237.55121299547</v>
      </c>
      <c r="Q133" s="113" t="n">
        <f aca="false">Q99+Q106+Q113+Q120+Q127</f>
        <v>1057.68041919617</v>
      </c>
      <c r="R133" s="113" t="n">
        <f aca="false">R99+R106+R113+R120+R127</f>
        <v>1073.35057389961</v>
      </c>
      <c r="S133" s="113" t="n">
        <f aca="false">S99+S106+S113+S120+S127</f>
        <v>1151.45796863904</v>
      </c>
      <c r="T133" s="113" t="n">
        <f aca="false">T99+T106+T113+T120+T127</f>
        <v>1125.47614844795</v>
      </c>
      <c r="U133" s="113" t="n">
        <f aca="false">U99+U106+U113+U120+U127</f>
        <v>857.426841358218</v>
      </c>
      <c r="V133" s="113" t="n">
        <f aca="false">V99+V106+V113+V120+V127</f>
        <v>1143.21258138418</v>
      </c>
      <c r="W133" s="113" t="n">
        <f aca="false">W99+W106+W113+W120+W127</f>
        <v>1106.82704090986</v>
      </c>
      <c r="X133" s="113" t="n">
        <f aca="false">X99+X106+X113+X120+X127</f>
        <v>969.231993331524</v>
      </c>
      <c r="Y133" s="113" t="n">
        <f aca="false">Y99+Y106+Y113+Y120+Y127</f>
        <v>1142.74456473783</v>
      </c>
      <c r="Z133" s="113" t="n">
        <f aca="false">Z99+Z106+Z113+Z120+Z127</f>
        <v>1041.03786869914</v>
      </c>
      <c r="AA133" s="113" t="n">
        <f aca="false">AA99+AA106+AA113+AA120+AA127</f>
        <v>1088.90148536052</v>
      </c>
      <c r="AB133" s="113" t="n">
        <f aca="false">AB99+AB106+AB113+AB120+AB127</f>
        <v>1178.64601202338</v>
      </c>
    </row>
    <row r="134" customFormat="false" ht="15" hidden="false" customHeight="false" outlineLevel="0" collapsed="false">
      <c r="A134" s="29" t="s">
        <v>1052</v>
      </c>
      <c r="B134" s="60"/>
      <c r="C134" s="66" t="n">
        <f aca="false">SUM(E134:P134)</f>
        <v>780.806976122569</v>
      </c>
      <c r="D134" s="66" t="n">
        <f aca="false">SUM(Q134:AB134)</f>
        <v>36.9938772088633</v>
      </c>
      <c r="E134" s="72" t="n">
        <f aca="false">E100+E107+E114+E121+E128</f>
        <v>0.3</v>
      </c>
      <c r="F134" s="72" t="n">
        <f aca="false">F100+F107+F114+F121+F128</f>
        <v>0.3</v>
      </c>
      <c r="G134" s="72" t="n">
        <f aca="false">G100+G107+G114+G121+G128</f>
        <v>22.6</v>
      </c>
      <c r="H134" s="72" t="n">
        <f aca="false">H100+H107+H114+H121+H128</f>
        <v>0.2</v>
      </c>
      <c r="I134" s="72" t="n">
        <f aca="false">I100+I107+I114+I121+I128</f>
        <v>0.3</v>
      </c>
      <c r="J134" s="72" t="n">
        <f aca="false">J100+J107+J114+J121+J128</f>
        <v>0.4</v>
      </c>
      <c r="K134" s="72" t="n">
        <f aca="false">K100+K107+K114+K121+K128</f>
        <v>164.8</v>
      </c>
      <c r="L134" s="72" t="n">
        <f aca="false">L100+L107+L114+L121+L128</f>
        <v>108.6</v>
      </c>
      <c r="M134" s="72" t="n">
        <f aca="false">M100+M107+M114+M121+M128</f>
        <v>270.136336525201</v>
      </c>
      <c r="N134" s="72" t="n">
        <f aca="false">N100+N107+N114+N121+N128</f>
        <v>133.893316625527</v>
      </c>
      <c r="O134" s="72" t="n">
        <f aca="false">O100+O107+O114+O121+O128</f>
        <v>38.3707532299596</v>
      </c>
      <c r="P134" s="72" t="n">
        <f aca="false">P100+P107+P114+P121+P128</f>
        <v>40.9065697418814</v>
      </c>
      <c r="Q134" s="72" t="n">
        <f aca="false">Q100+Q107+Q114+Q121+Q128</f>
        <v>36.3039717110685</v>
      </c>
      <c r="R134" s="72" t="n">
        <f aca="false">R100+R107+R114+R121+R128</f>
        <v>0.349954865183463</v>
      </c>
      <c r="S134" s="72" t="n">
        <f aca="false">S100+S107+S114+S121+S128</f>
        <v>0.339950632611362</v>
      </c>
      <c r="T134" s="72" t="n">
        <f aca="false">T100+T107+T114+T121+T128</f>
        <v>0</v>
      </c>
      <c r="U134" s="72" t="n">
        <f aca="false">U100+U107+U114+U121+U128</f>
        <v>0</v>
      </c>
      <c r="V134" s="72" t="n">
        <f aca="false">V100+V107+V114+V121+V128</f>
        <v>0</v>
      </c>
      <c r="W134" s="72" t="n">
        <f aca="false">W100+W107+W114+W121+W128</f>
        <v>0</v>
      </c>
      <c r="X134" s="72" t="n">
        <f aca="false">X100+X107+X114+X121+X128</f>
        <v>0</v>
      </c>
      <c r="Y134" s="72" t="n">
        <f aca="false">Y100+Y107+Y114+Y121+Y128</f>
        <v>0</v>
      </c>
      <c r="Z134" s="72" t="n">
        <f aca="false">Z100+Z107+Z114+Z121+Z128</f>
        <v>0</v>
      </c>
      <c r="AA134" s="72" t="n">
        <f aca="false">AA100+AA107+AA114+AA121+AA128</f>
        <v>0</v>
      </c>
      <c r="AB134" s="72" t="n">
        <f aca="false">AB100+AB107+AB114+AB121+AB128</f>
        <v>0</v>
      </c>
    </row>
    <row r="135" customFormat="false" ht="15" hidden="false" customHeight="false" outlineLevel="0" collapsed="false">
      <c r="A135" s="68" t="s">
        <v>1053</v>
      </c>
      <c r="B135" s="69"/>
      <c r="C135" s="75" t="n">
        <f aca="false">IF(C130=0,0,C133/C130)</f>
        <v>0.705008572471635</v>
      </c>
      <c r="D135" s="75" t="n">
        <f aca="false">IF(D130=0,0,D133/D130)</f>
        <v>0.6859899867671</v>
      </c>
      <c r="E135" s="75" t="n">
        <f aca="false">IF(E130=0,0,E133/E130)</f>
        <v>0.683333333333333</v>
      </c>
      <c r="F135" s="75" t="n">
        <f aca="false">IF(F130=0,0,F133/F130)</f>
        <v>0.628282828282828</v>
      </c>
      <c r="G135" s="75" t="n">
        <f aca="false">IF(G130=0,0,G133/G130)</f>
        <v>0.77636660724896</v>
      </c>
      <c r="H135" s="75" t="n">
        <f aca="false">IF(H130=0,0,H133/H130)</f>
        <v>0.610521885521886</v>
      </c>
      <c r="I135" s="75" t="n">
        <f aca="false">IF(I130=0,0,I133/I130)</f>
        <v>0.671099290780142</v>
      </c>
      <c r="J135" s="75" t="n">
        <f aca="false">IF(J130=0,0,J133/J130)</f>
        <v>0.613604972375691</v>
      </c>
      <c r="K135" s="75" t="n">
        <f aca="false">IF(K130=0,0,K133/K130)</f>
        <v>0.717663817663818</v>
      </c>
      <c r="L135" s="75" t="n">
        <f aca="false">IF(L130=0,0,L133/L130)</f>
        <v>0.697368421052632</v>
      </c>
      <c r="M135" s="75" t="n">
        <f aca="false">IF(M130=0,0,M133/M130)</f>
        <v>0.719996939511519</v>
      </c>
      <c r="N135" s="75" t="n">
        <f aca="false">IF(N130=0,0,N133/N130)</f>
        <v>0.739941331940801</v>
      </c>
      <c r="O135" s="75" t="n">
        <f aca="false">IF(O130=0,0,O133/O130)</f>
        <v>0.773589515159036</v>
      </c>
      <c r="P135" s="75" t="n">
        <f aca="false">IF(P130=0,0,P133/P130)</f>
        <v>0.773576770375802</v>
      </c>
      <c r="Q135" s="75" t="n">
        <f aca="false">IF(Q130=0,0,Q133/Q130)</f>
        <v>0.773426885971772</v>
      </c>
      <c r="R135" s="75" t="n">
        <f aca="false">IF(R130=0,0,R133/R130)</f>
        <v>0.760985453203609</v>
      </c>
      <c r="S135" s="75" t="n">
        <f aca="false">IF(S130=0,0,S133/S130)</f>
        <v>0.760988498330263</v>
      </c>
      <c r="T135" s="75" t="n">
        <f aca="false">IF(T130=0,0,T133/T130)</f>
        <v>0.670839796055188</v>
      </c>
      <c r="U135" s="75" t="n">
        <f aca="false">IF(U130=0,0,U133/U130)</f>
        <v>0.670873701596885</v>
      </c>
      <c r="V135" s="75" t="n">
        <f aca="false">IF(V130=0,0,V133/V130)</f>
        <v>0.660636542396563</v>
      </c>
      <c r="W135" s="75" t="n">
        <f aca="false">IF(W130=0,0,W133/W130)</f>
        <v>0.660665076478624</v>
      </c>
      <c r="X135" s="75" t="n">
        <f aca="false">IF(X130=0,0,X133/X130)</f>
        <v>0.660664356584504</v>
      </c>
      <c r="Y135" s="75" t="n">
        <f aca="false">IF(Y130=0,0,Y133/Y130)</f>
        <v>0.660663884782317</v>
      </c>
      <c r="Z135" s="75" t="n">
        <f aca="false">IF(Z130=0,0,Z133/Z130)</f>
        <v>0.660663656826336</v>
      </c>
      <c r="AA135" s="75" t="n">
        <f aca="false">IF(AA130=0,0,AA133/AA130)</f>
        <v>0.6606636686573</v>
      </c>
      <c r="AB135" s="75" t="n">
        <f aca="false">IF(AB130=0,0,AB133/AB130)</f>
        <v>0.6606636743901</v>
      </c>
    </row>
    <row r="136" customFormat="false" ht="15" hidden="false" customHeight="false" outlineLevel="0" collapsed="false">
      <c r="A136" s="29" t="s">
        <v>1054</v>
      </c>
      <c r="B136" s="60" t="s">
        <v>1037</v>
      </c>
      <c r="C136" s="61" t="n">
        <f aca="false">SUM(E136:P136)</f>
        <v>96475.7164989887</v>
      </c>
      <c r="D136" s="61" t="n">
        <f aca="false">SUM(Q136:AB136)</f>
        <v>4695.93785795602</v>
      </c>
      <c r="E136" s="62" t="n">
        <f aca="false">E100*Assumptions!$G$64+E107*Assumptions!$G$65+E114*Assumptions!$G$66+E121*Assumptions!$G$67+E128*Assumptions!$G$68</f>
        <v>42.6</v>
      </c>
      <c r="F136" s="62" t="n">
        <f aca="false">F100*Assumptions!$G$64+F107*Assumptions!$G$65+F114*Assumptions!$G$66+F121*Assumptions!$G$67+F128*Assumptions!$G$68</f>
        <v>44.4</v>
      </c>
      <c r="G136" s="62" t="n">
        <f aca="false">G100*Assumptions!$G$64+G107*Assumptions!$G$65+G114*Assumptions!$G$66+G121*Assumptions!$G$67+G128*Assumptions!$G$68</f>
        <v>2204.35</v>
      </c>
      <c r="H136" s="62" t="n">
        <f aca="false">H100*Assumptions!$G$64+H107*Assumptions!$G$65+H114*Assumptions!$G$66+H121*Assumptions!$G$67+H128*Assumptions!$G$68</f>
        <v>27.59</v>
      </c>
      <c r="I136" s="62" t="n">
        <f aca="false">I100*Assumptions!$G$64+I107*Assumptions!$G$65+I114*Assumptions!$G$66+I121*Assumptions!$G$67+I128*Assumptions!$G$68</f>
        <v>45.27</v>
      </c>
      <c r="J136" s="62" t="n">
        <f aca="false">J100*Assumptions!$G$64+J107*Assumptions!$G$65+J114*Assumptions!$G$66+J121*Assumptions!$G$67+J128*Assumptions!$G$68</f>
        <v>59.87</v>
      </c>
      <c r="K136" s="62" t="n">
        <f aca="false">K100*Assumptions!$G$64+K107*Assumptions!$G$65+K114*Assumptions!$G$66+K121*Assumptions!$G$67+K128*Assumptions!$G$68</f>
        <v>19809.73</v>
      </c>
      <c r="L136" s="62" t="n">
        <f aca="false">L100*Assumptions!$G$64+L107*Assumptions!$G$65+L114*Assumptions!$G$66+L121*Assumptions!$G$67+L128*Assumptions!$G$68</f>
        <v>13046.68</v>
      </c>
      <c r="M136" s="62" t="n">
        <f aca="false">M100*Assumptions!$G$64+M107*Assumptions!$G$65+M114*Assumptions!$G$66+M121*Assumptions!$G$67+M128*Assumptions!$G$68</f>
        <v>33704.5908579968</v>
      </c>
      <c r="N136" s="62" t="n">
        <f aca="false">N100*Assumptions!$G$64+N107*Assumptions!$G$65+N114*Assumptions!$G$66+N121*Assumptions!$G$67+N128*Assumptions!$G$68</f>
        <v>17381.6223722367</v>
      </c>
      <c r="O136" s="62" t="n">
        <f aca="false">O100*Assumptions!$G$64+O107*Assumptions!$G$65+O114*Assumptions!$G$66+O121*Assumptions!$G$67+O128*Assumptions!$G$68</f>
        <v>4899.14470127764</v>
      </c>
      <c r="P136" s="62" t="n">
        <f aca="false">P100*Assumptions!$G$64+P107*Assumptions!$G$65+P114*Assumptions!$G$66+P121*Assumptions!$G$67+P128*Assumptions!$G$68</f>
        <v>5209.86856747747</v>
      </c>
      <c r="Q136" s="62" t="n">
        <f aca="false">Q100*Assumptions!$G$64+Q107*Assumptions!$G$65+Q114*Assumptions!$G$66+Q121*Assumptions!$G$67+Q128*Assumptions!$G$68</f>
        <v>4613.14919822064</v>
      </c>
      <c r="R136" s="62" t="n">
        <f aca="false">R100*Assumptions!$G$64+R107*Assumptions!$G$65+R114*Assumptions!$G$66+R121*Assumptions!$G$67+R128*Assumptions!$G$68</f>
        <v>41.9945838220156</v>
      </c>
      <c r="S136" s="62" t="n">
        <f aca="false">S100*Assumptions!$G$64+S107*Assumptions!$G$65+S114*Assumptions!$G$66+S121*Assumptions!$G$67+S128*Assumptions!$G$68</f>
        <v>40.7940759133635</v>
      </c>
      <c r="T136" s="62" t="n">
        <f aca="false">T100*Assumptions!$G$64+T107*Assumptions!$G$65+T114*Assumptions!$G$66+T121*Assumptions!$G$67+T128*Assumptions!$G$68</f>
        <v>0</v>
      </c>
      <c r="U136" s="62" t="n">
        <f aca="false">U100*Assumptions!$G$64+U107*Assumptions!$G$65+U114*Assumptions!$G$66+U121*Assumptions!$G$67+U128*Assumptions!$G$68</f>
        <v>0</v>
      </c>
      <c r="V136" s="62" t="n">
        <f aca="false">V100*Assumptions!$G$64+V107*Assumptions!$G$65+V114*Assumptions!$G$66+V121*Assumptions!$G$67+V128*Assumptions!$G$68</f>
        <v>0</v>
      </c>
      <c r="W136" s="62" t="n">
        <f aca="false">W100*Assumptions!$G$64+W107*Assumptions!$G$65+W114*Assumptions!$G$66+W121*Assumptions!$G$67+W128*Assumptions!$G$68</f>
        <v>0</v>
      </c>
      <c r="X136" s="62" t="n">
        <f aca="false">X100*Assumptions!$G$64+X107*Assumptions!$G$65+X114*Assumptions!$G$66+X121*Assumptions!$G$67+X128*Assumptions!$G$68</f>
        <v>0</v>
      </c>
      <c r="Y136" s="62" t="n">
        <f aca="false">Y100*Assumptions!$G$64+Y107*Assumptions!$G$65+Y114*Assumptions!$G$66+Y121*Assumptions!$G$67+Y128*Assumptions!$G$68</f>
        <v>0</v>
      </c>
      <c r="Z136" s="62" t="n">
        <f aca="false">Z100*Assumptions!$G$64+Z107*Assumptions!$G$65+Z114*Assumptions!$G$66+Z121*Assumptions!$G$67+Z128*Assumptions!$G$68</f>
        <v>0</v>
      </c>
      <c r="AA136" s="62" t="n">
        <f aca="false">AA100*Assumptions!$G$64+AA107*Assumptions!$G$65+AA114*Assumptions!$G$66+AA121*Assumptions!$G$67+AA128*Assumptions!$G$68</f>
        <v>0</v>
      </c>
      <c r="AB136" s="62" t="n">
        <f aca="false">AB100*Assumptions!$G$64+AB107*Assumptions!$G$65+AB114*Assumptions!$G$66+AB121*Assumptions!$G$67+AB128*Assumptions!$G$68</f>
        <v>0</v>
      </c>
    </row>
    <row r="137" customFormat="false" ht="15" hidden="false" customHeight="false" outlineLevel="0" collapsed="false">
      <c r="A137" s="29" t="s">
        <v>1055</v>
      </c>
      <c r="B137" s="60"/>
      <c r="C137" s="61" t="n">
        <f aca="false">SUM(E137:P137)</f>
        <v>230091.960120966</v>
      </c>
      <c r="D137" s="61" t="n">
        <f aca="false">SUM(Q137:AB137)</f>
        <v>29536.3142911894</v>
      </c>
      <c r="E137" s="71" t="n">
        <f aca="false">E50+E93+E136</f>
        <v>6894.28</v>
      </c>
      <c r="F137" s="71" t="n">
        <f aca="false">F50+F93+F136</f>
        <v>8835.28</v>
      </c>
      <c r="G137" s="71" t="n">
        <f aca="false">G50+G93+G136</f>
        <v>2694.41</v>
      </c>
      <c r="H137" s="71" t="n">
        <f aca="false">H50+H93+H136</f>
        <v>16080.37</v>
      </c>
      <c r="I137" s="71" t="n">
        <f aca="false">I50+I93+I136</f>
        <v>37289.31</v>
      </c>
      <c r="J137" s="71" t="n">
        <f aca="false">J50+J93+J136</f>
        <v>47878.21</v>
      </c>
      <c r="K137" s="71" t="n">
        <f aca="false">K50+K93+K136</f>
        <v>19888.51</v>
      </c>
      <c r="L137" s="71" t="n">
        <f aca="false">L50+L93+L136</f>
        <v>13105.26</v>
      </c>
      <c r="M137" s="71" t="n">
        <f aca="false">M50+M93+M136</f>
        <v>38719.92083138</v>
      </c>
      <c r="N137" s="71" t="n">
        <f aca="false">N50+N93+N136</f>
        <v>17381.6223722367</v>
      </c>
      <c r="O137" s="71" t="n">
        <f aca="false">O50+O93+O136</f>
        <v>4899.14470127764</v>
      </c>
      <c r="P137" s="71" t="n">
        <f aca="false">P50+P93+P136</f>
        <v>16425.6422160711</v>
      </c>
      <c r="Q137" s="71" t="n">
        <f aca="false">Q50+Q93+Q136</f>
        <v>14704.0365181243</v>
      </c>
      <c r="R137" s="71" t="n">
        <f aca="false">R50+R93+R136</f>
        <v>14791.4836971517</v>
      </c>
      <c r="S137" s="71" t="n">
        <f aca="false">S50+S93+S136</f>
        <v>40.7940759133635</v>
      </c>
      <c r="T137" s="71" t="n">
        <f aca="false">T50+T93+T136</f>
        <v>0</v>
      </c>
      <c r="U137" s="71" t="n">
        <f aca="false">U50+U93+U136</f>
        <v>0</v>
      </c>
      <c r="V137" s="71" t="n">
        <f aca="false">V50+V93+V136</f>
        <v>0</v>
      </c>
      <c r="W137" s="71" t="n">
        <f aca="false">W50+W93+W136</f>
        <v>0</v>
      </c>
      <c r="X137" s="71" t="n">
        <f aca="false">X50+X93+X136</f>
        <v>0</v>
      </c>
      <c r="Y137" s="71" t="n">
        <f aca="false">Y50+Y93+Y136</f>
        <v>0</v>
      </c>
      <c r="Z137" s="71" t="n">
        <f aca="false">Z50+Z93+Z136</f>
        <v>0</v>
      </c>
      <c r="AA137" s="71" t="n">
        <f aca="false">AA50+AA93+AA136</f>
        <v>0</v>
      </c>
      <c r="AB137" s="71" t="n">
        <f aca="false">AB50+AB93+AB136</f>
        <v>0</v>
      </c>
    </row>
    <row r="138" customFormat="false" ht="15" hidden="false" customHeight="false" outlineLevel="0" collapsed="false">
      <c r="A138" s="29" t="s">
        <v>1056</v>
      </c>
      <c r="B138" s="60" t="s">
        <v>1057</v>
      </c>
      <c r="C138" s="61" t="n">
        <f aca="false">SUM(E138:P138)</f>
        <v>64155.491143718</v>
      </c>
      <c r="D138" s="61" t="n">
        <f aca="false">SUM(Q138:AB138)</f>
        <v>0</v>
      </c>
      <c r="E138" s="62" t="n">
        <f aca="false">IF(E$5="A",IF(E137=0,0,Inputs_Actuals!E164*E50/E137),E50*Assumptions!E$195)</f>
        <v>41.7708554627894</v>
      </c>
      <c r="F138" s="62" t="n">
        <f aca="false">IF(F$5="A",IF(F137=0,0,Inputs_Actuals!F164*F50/F137),F50*Assumptions!F$195)</f>
        <v>15.0812875653064</v>
      </c>
      <c r="G138" s="62" t="n">
        <f aca="false">IF(G$5="A",IF(G137=0,0,Inputs_Actuals!G164*G50/G137),G50*Assumptions!G$195)</f>
        <v>47.7370778760471</v>
      </c>
      <c r="H138" s="62" t="n">
        <f aca="false">IF(H$5="A",IF(H137=0,0,Inputs_Actuals!H164*H50/H137),H50*Assumptions!H$195)</f>
        <v>3310.80819273437</v>
      </c>
      <c r="I138" s="62" t="n">
        <f aca="false">IF(I$5="A",IF(I137=0,0,Inputs_Actuals!I164*I50/I137),I50*Assumptions!I$195)</f>
        <v>28016.4586024118</v>
      </c>
      <c r="J138" s="62" t="n">
        <f aca="false">IF(J$5="A",IF(J137=0,0,Inputs_Actuals!J164*J50/J137),J50*Assumptions!J$195)</f>
        <v>32662.9399030498</v>
      </c>
      <c r="K138" s="62" t="n">
        <f aca="false">IF(K$5="A",IF(K137=0,0,Inputs_Actuals!K164*K50/K137),K50*Assumptions!K$195)</f>
        <v>31.1247954924728</v>
      </c>
      <c r="L138" s="62" t="n">
        <f aca="false">IF(L$5="A",IF(L137=0,0,Inputs_Actuals!L164*L50/L137),L50*Assumptions!L$195)</f>
        <v>29.5704291254046</v>
      </c>
      <c r="M138" s="62" t="n">
        <f aca="false">IF(M$5="A",IF(M137=0,0,Inputs_Actuals!M164*M50/M137),M50*Assumptions!M$195)</f>
        <v>0</v>
      </c>
      <c r="N138" s="62" t="n">
        <f aca="false">IF(N$5="A",IF(N137=0,0,Inputs_Actuals!N164*N50/N137),N50*Assumptions!N$195)</f>
        <v>0</v>
      </c>
      <c r="O138" s="62" t="n">
        <f aca="false">IF(O$5="A",IF(O137=0,0,Inputs_Actuals!O164*O50/O137),O50*Assumptions!O$195)</f>
        <v>0</v>
      </c>
      <c r="P138" s="62" t="n">
        <f aca="false">IF(P$5="A",IF(P137=0,0,Inputs_Actuals!P164*P50/P137),P50*Assumptions!P$195)</f>
        <v>0</v>
      </c>
      <c r="Q138" s="62" t="n">
        <f aca="false">IF(Q$5="A",IF(Q137=0,0,Inputs_Actuals!Q164*Q50/Q137),Q50*Assumptions!Q$195)</f>
        <v>0</v>
      </c>
      <c r="R138" s="62" t="n">
        <f aca="false">IF(R$5="A",IF(R137=0,0,Inputs_Actuals!R164*R50/R137),R50*Assumptions!R$195)</f>
        <v>0</v>
      </c>
      <c r="S138" s="62" t="n">
        <f aca="false">IF(S$5="A",IF(S137=0,0,Inputs_Actuals!S164*S50/S137),S50*Assumptions!S$195)</f>
        <v>0</v>
      </c>
      <c r="T138" s="62" t="n">
        <f aca="false">IF(T$5="A",IF(T137=0,0,Inputs_Actuals!T164*T50/T137),T50*Assumptions!T$195)</f>
        <v>0</v>
      </c>
      <c r="U138" s="62" t="n">
        <f aca="false">IF(U$5="A",IF(U137=0,0,Inputs_Actuals!U164*U50/U137),U50*Assumptions!U$195)</f>
        <v>0</v>
      </c>
      <c r="V138" s="62" t="n">
        <f aca="false">IF(V$5="A",IF(V137=0,0,Inputs_Actuals!V164*V50/V137),V50*Assumptions!V$195)</f>
        <v>0</v>
      </c>
      <c r="W138" s="62" t="n">
        <f aca="false">IF(W$5="A",IF(W137=0,0,Inputs_Actuals!W164*W50/W137),W50*Assumptions!W$195)</f>
        <v>0</v>
      </c>
      <c r="X138" s="62" t="n">
        <f aca="false">IF(X$5="A",IF(X137=0,0,Inputs_Actuals!X164*X50/X137),X50*Assumptions!X$195)</f>
        <v>0</v>
      </c>
      <c r="Y138" s="62" t="n">
        <f aca="false">IF(Y$5="A",IF(Y137=0,0,Inputs_Actuals!Y164*Y50/Y137),Y50*Assumptions!Y$195)</f>
        <v>0</v>
      </c>
      <c r="Z138" s="62" t="n">
        <f aca="false">IF(Z$5="A",IF(Z137=0,0,Inputs_Actuals!Z164*Z50/Z137),Z50*Assumptions!Z$195)</f>
        <v>0</v>
      </c>
      <c r="AA138" s="62" t="n">
        <f aca="false">IF(AA$5="A",IF(AA137=0,0,Inputs_Actuals!AA164*AA50/AA137),AA50*Assumptions!AA$195)</f>
        <v>0</v>
      </c>
      <c r="AB138" s="62" t="n">
        <f aca="false">IF(AB$5="A",IF(AB137=0,0,Inputs_Actuals!AB164*AB50/AB137),AB50*Assumptions!AB$195)</f>
        <v>0</v>
      </c>
    </row>
    <row r="139" customFormat="false" ht="15" hidden="false" customHeight="false" outlineLevel="0" collapsed="false">
      <c r="A139" s="29" t="s">
        <v>1058</v>
      </c>
      <c r="B139" s="60" t="s">
        <v>1057</v>
      </c>
      <c r="C139" s="61" t="n">
        <f aca="false">SUM(E139:P139)</f>
        <v>69770.2410510591</v>
      </c>
      <c r="D139" s="61" t="n">
        <f aca="false">SUM(Q139:AB139)</f>
        <v>25585.5877262304</v>
      </c>
      <c r="E139" s="62" t="n">
        <f aca="false">IF(E$5="A",IF(E137=0,0,Inputs_Actuals!E164*E93/E137),E93*Assumptions!E$195)</f>
        <v>6839.70389705669</v>
      </c>
      <c r="F139" s="62" t="n">
        <f aca="false">IF(F$5="A",IF(F137=0,0,Inputs_Actuals!F164*F93/F137),F93*Assumptions!F$195)</f>
        <v>8605.06105522406</v>
      </c>
      <c r="G139" s="62" t="n">
        <f aca="false">IF(G$5="A",IF(G137=0,0,Inputs_Actuals!G164*G93/G137),G93*Assumptions!G$195)</f>
        <v>425.060666342539</v>
      </c>
      <c r="H139" s="62" t="n">
        <f aca="false">IF(H$5="A",IF(H137=0,0,Inputs_Actuals!H164*H93/H137),H93*Assumptions!H$195)</f>
        <v>12778.848427219</v>
      </c>
      <c r="I139" s="62" t="n">
        <f aca="false">IF(I$5="A",IF(I137=0,0,Inputs_Actuals!I164*I93/I137),I93*Assumptions!I$195)</f>
        <v>8833.91989176791</v>
      </c>
      <c r="J139" s="62" t="n">
        <f aca="false">IF(J$5="A",IF(J137=0,0,Inputs_Actuals!J164*J93/J137),J93*Assumptions!J$195)</f>
        <v>15979.6281386501</v>
      </c>
      <c r="K139" s="62" t="n">
        <f aca="false">IF(K$5="A",IF(K137=0,0,Inputs_Actuals!K164*K93/K137),K93*Assumptions!K$195)</f>
        <v>47.566199016417</v>
      </c>
      <c r="L139" s="62" t="n">
        <f aca="false">IF(L$5="A",IF(L137=0,0,Inputs_Actuals!L164*L93/L137),L93*Assumptions!L$195)</f>
        <v>29.3491538054186</v>
      </c>
      <c r="M139" s="62" t="n">
        <f aca="false">IF(M$5="A",IF(M137=0,0,Inputs_Actuals!M164*M93/M137),M93*Assumptions!M$195)</f>
        <v>5015.32997338323</v>
      </c>
      <c r="N139" s="62" t="n">
        <f aca="false">IF(N$5="A",IF(N137=0,0,Inputs_Actuals!N164*N93/N137),N93*Assumptions!N$195)</f>
        <v>0</v>
      </c>
      <c r="O139" s="62" t="n">
        <f aca="false">IF(O$5="A",IF(O137=0,0,Inputs_Actuals!O164*O93/O137),O93*Assumptions!O$195)</f>
        <v>0</v>
      </c>
      <c r="P139" s="62" t="n">
        <f aca="false">IF(P$5="A",IF(P137=0,0,Inputs_Actuals!P164*P93/P137),P93*Assumptions!P$195)</f>
        <v>11215.7736485937</v>
      </c>
      <c r="Q139" s="62" t="n">
        <f aca="false">IF(Q$5="A",IF(Q137=0,0,Inputs_Actuals!Q164*Q93/Q137),Q93*Assumptions!Q$195)</f>
        <v>10393.6139395008</v>
      </c>
      <c r="R139" s="62" t="n">
        <f aca="false">IF(R$5="A",IF(R137=0,0,Inputs_Actuals!R164*R93/R137),R93*Assumptions!R$195)</f>
        <v>15191.9737867296</v>
      </c>
      <c r="S139" s="62" t="n">
        <f aca="false">IF(S$5="A",IF(S137=0,0,Inputs_Actuals!S164*S93/S137),S93*Assumptions!S$195)</f>
        <v>0</v>
      </c>
      <c r="T139" s="62" t="n">
        <f aca="false">IF(T$5="A",IF(T137=0,0,Inputs_Actuals!T164*T93/T137),T93*Assumptions!T$195)</f>
        <v>0</v>
      </c>
      <c r="U139" s="62" t="n">
        <f aca="false">IF(U$5="A",IF(U137=0,0,Inputs_Actuals!U164*U93/U137),U93*Assumptions!U$195)</f>
        <v>0</v>
      </c>
      <c r="V139" s="62" t="n">
        <f aca="false">IF(V$5="A",IF(V137=0,0,Inputs_Actuals!V164*V93/V137),V93*Assumptions!V$195)</f>
        <v>0</v>
      </c>
      <c r="W139" s="62" t="n">
        <f aca="false">IF(W$5="A",IF(W137=0,0,Inputs_Actuals!W164*W93/W137),W93*Assumptions!W$195)</f>
        <v>0</v>
      </c>
      <c r="X139" s="62" t="n">
        <f aca="false">IF(X$5="A",IF(X137=0,0,Inputs_Actuals!X164*X93/X137),X93*Assumptions!X$195)</f>
        <v>0</v>
      </c>
      <c r="Y139" s="62" t="n">
        <f aca="false">IF(Y$5="A",IF(Y137=0,0,Inputs_Actuals!Y164*Y93/Y137),Y93*Assumptions!Y$195)</f>
        <v>0</v>
      </c>
      <c r="Z139" s="62" t="n">
        <f aca="false">IF(Z$5="A",IF(Z137=0,0,Inputs_Actuals!Z164*Z93/Z137),Z93*Assumptions!Z$195)</f>
        <v>0</v>
      </c>
      <c r="AA139" s="62" t="n">
        <f aca="false">IF(AA$5="A",IF(AA137=0,0,Inputs_Actuals!AA164*AA93/AA137),AA93*Assumptions!AA$195)</f>
        <v>0</v>
      </c>
      <c r="AB139" s="62" t="n">
        <f aca="false">IF(AB$5="A",IF(AB137=0,0,Inputs_Actuals!AB164*AB93/AB137),AB93*Assumptions!AB$195)</f>
        <v>0</v>
      </c>
    </row>
    <row r="140" customFormat="false" ht="15" hidden="false" customHeight="false" outlineLevel="0" collapsed="false">
      <c r="A140" s="29" t="s">
        <v>1059</v>
      </c>
      <c r="B140" s="60" t="s">
        <v>1057</v>
      </c>
      <c r="C140" s="61" t="n">
        <f aca="false">SUM(E140:P140)</f>
        <v>96451.2579261885</v>
      </c>
      <c r="D140" s="61" t="n">
        <f aca="false">SUM(Q140:AB140)</f>
        <v>4836.8159936947</v>
      </c>
      <c r="E140" s="62" t="n">
        <f aca="false">IF(E$5="A",IF(E137=0,0,Inputs_Actuals!E164*E136/E137),E136*Assumptions!E$195)</f>
        <v>42.7852474805201</v>
      </c>
      <c r="F140" s="62" t="n">
        <f aca="false">IF(F$5="A",IF(F137=0,0,Inputs_Actuals!F164*F136/F137),F136*Assumptions!F$195)</f>
        <v>43.5376572106374</v>
      </c>
      <c r="G140" s="62" t="n">
        <f aca="false">IF(G$5="A",IF(G137=0,0,Inputs_Actuals!G164*G136/G137),G136*Assumptions!G$195)</f>
        <v>2126.70225578141</v>
      </c>
      <c r="H140" s="62" t="n">
        <f aca="false">IF(H$5="A",IF(H137=0,0,Inputs_Actuals!H164*H136/H137),H136*Assumptions!H$195)</f>
        <v>27.6533800466034</v>
      </c>
      <c r="I140" s="62" t="n">
        <f aca="false">IF(I$5="A",IF(I137=0,0,Inputs_Actuals!I164*I136/I137),I136*Assumptions!I$195)</f>
        <v>44.7915058203008</v>
      </c>
      <c r="J140" s="62" t="n">
        <f aca="false">IF(J$5="A",IF(J137=0,0,Inputs_Actuals!J164*J136/J137),J136*Assumptions!J$195)</f>
        <v>60.9019583000284</v>
      </c>
      <c r="K140" s="62" t="n">
        <f aca="false">IF(K$5="A",IF(K137=0,0,Inputs_Actuals!K164*K136/K137),K136*Assumptions!K$195)</f>
        <v>19787.3490054911</v>
      </c>
      <c r="L140" s="62" t="n">
        <f aca="false">IF(L$5="A",IF(L137=0,0,Inputs_Actuals!L164*L136/L137),L136*Assumptions!L$195)</f>
        <v>13122.3104170692</v>
      </c>
      <c r="M140" s="62" t="n">
        <f aca="false">IF(M$5="A",IF(M137=0,0,Inputs_Actuals!M164*M136/M137),M136*Assumptions!M$195)</f>
        <v>33704.5908579968</v>
      </c>
      <c r="N140" s="62" t="n">
        <f aca="false">IF(N$5="A",IF(N137=0,0,Inputs_Actuals!N164*N136/N137),N136*Assumptions!N$195)</f>
        <v>17381.6223722367</v>
      </c>
      <c r="O140" s="62" t="n">
        <f aca="false">IF(O$5="A",IF(O137=0,0,Inputs_Actuals!O164*O136/O137),O136*Assumptions!O$195)</f>
        <v>4899.14470127764</v>
      </c>
      <c r="P140" s="62" t="n">
        <f aca="false">IF(P$5="A",IF(P137=0,0,Inputs_Actuals!P164*P136/P137),P136*Assumptions!P$195)</f>
        <v>5209.86856747747</v>
      </c>
      <c r="Q140" s="62" t="n">
        <f aca="false">IF(Q$5="A",IF(Q137=0,0,Inputs_Actuals!Q164*Q136/Q137),Q136*Assumptions!Q$195)</f>
        <v>4751.54367416726</v>
      </c>
      <c r="R140" s="62" t="n">
        <f aca="false">IF(R$5="A",IF(R137=0,0,Inputs_Actuals!R164*R136/R137),R136*Assumptions!R$195)</f>
        <v>43.254421336676</v>
      </c>
      <c r="S140" s="62" t="n">
        <f aca="false">IF(S$5="A",IF(S137=0,0,Inputs_Actuals!S164*S136/S137),S136*Assumptions!S$195)</f>
        <v>42.0178981907644</v>
      </c>
      <c r="T140" s="62" t="n">
        <f aca="false">IF(T$5="A",IF(T137=0,0,Inputs_Actuals!T164*T136/T137),T136*Assumptions!T$195)</f>
        <v>0</v>
      </c>
      <c r="U140" s="62" t="n">
        <f aca="false">IF(U$5="A",IF(U137=0,0,Inputs_Actuals!U164*U136/U137),U136*Assumptions!U$195)</f>
        <v>0</v>
      </c>
      <c r="V140" s="62" t="n">
        <f aca="false">IF(V$5="A",IF(V137=0,0,Inputs_Actuals!V164*V136/V137),V136*Assumptions!V$195)</f>
        <v>0</v>
      </c>
      <c r="W140" s="62" t="n">
        <f aca="false">IF(W$5="A",IF(W137=0,0,Inputs_Actuals!W164*W136/W137),W136*Assumptions!W$195)</f>
        <v>0</v>
      </c>
      <c r="X140" s="62" t="n">
        <f aca="false">IF(X$5="A",IF(X137=0,0,Inputs_Actuals!X164*X136/X137),X136*Assumptions!X$195)</f>
        <v>0</v>
      </c>
      <c r="Y140" s="62" t="n">
        <f aca="false">IF(Y$5="A",IF(Y137=0,0,Inputs_Actuals!Y164*Y136/Y137),Y136*Assumptions!Y$195)</f>
        <v>0</v>
      </c>
      <c r="Z140" s="62" t="n">
        <f aca="false">IF(Z$5="A",IF(Z137=0,0,Inputs_Actuals!Z164*Z136/Z137),Z136*Assumptions!Z$195)</f>
        <v>0</v>
      </c>
      <c r="AA140" s="62" t="n">
        <f aca="false">IF(AA$5="A",IF(AA137=0,0,Inputs_Actuals!AA164*AA136/AA137),AA136*Assumptions!AA$195)</f>
        <v>0</v>
      </c>
      <c r="AB140" s="62" t="n">
        <f aca="false">IF(AB$5="A",IF(AB137=0,0,Inputs_Actuals!AB164*AB136/AB137),AB136*Assumptions!AB$195)</f>
        <v>0</v>
      </c>
    </row>
    <row r="141" customFormat="false" ht="15" hidden="false" customHeight="false" outlineLevel="0" collapsed="false">
      <c r="A141" s="68" t="s">
        <v>1060</v>
      </c>
      <c r="B141" s="69"/>
      <c r="C141" s="70" t="n">
        <f aca="false">SUM(E141:P141)</f>
        <v>230376.990120966</v>
      </c>
      <c r="D141" s="70" t="n">
        <f aca="false">SUM(Q141:AB141)</f>
        <v>30422.4037199251</v>
      </c>
      <c r="E141" s="70" t="n">
        <f aca="false">E138+E139+E140</f>
        <v>6924.26</v>
      </c>
      <c r="F141" s="70" t="n">
        <f aca="false">F138+F139+F140</f>
        <v>8663.68</v>
      </c>
      <c r="G141" s="70" t="n">
        <f aca="false">G138+G139+G140</f>
        <v>2599.5</v>
      </c>
      <c r="H141" s="70" t="n">
        <f aca="false">H138+H139+H140</f>
        <v>16117.31</v>
      </c>
      <c r="I141" s="70" t="n">
        <f aca="false">I138+I139+I140</f>
        <v>36895.17</v>
      </c>
      <c r="J141" s="70" t="n">
        <f aca="false">J138+J139+J140</f>
        <v>48703.47</v>
      </c>
      <c r="K141" s="70" t="n">
        <f aca="false">K138+K139+K140</f>
        <v>19866.04</v>
      </c>
      <c r="L141" s="70" t="n">
        <f aca="false">L138+L139+L140</f>
        <v>13181.23</v>
      </c>
      <c r="M141" s="70" t="n">
        <f aca="false">M138+M139+M140</f>
        <v>38719.92083138</v>
      </c>
      <c r="N141" s="70" t="n">
        <f aca="false">N138+N139+N140</f>
        <v>17381.6223722367</v>
      </c>
      <c r="O141" s="70" t="n">
        <f aca="false">O138+O139+O140</f>
        <v>4899.14470127764</v>
      </c>
      <c r="P141" s="70" t="n">
        <f aca="false">P138+P139+P140</f>
        <v>16425.6422160711</v>
      </c>
      <c r="Q141" s="70" t="n">
        <f aca="false">Q138+Q139+Q140</f>
        <v>15145.157613668</v>
      </c>
      <c r="R141" s="70" t="n">
        <f aca="false">R138+R139+R140</f>
        <v>15235.2282080663</v>
      </c>
      <c r="S141" s="70" t="n">
        <f aca="false">S138+S139+S140</f>
        <v>42.0178981907644</v>
      </c>
      <c r="T141" s="70" t="n">
        <f aca="false">T138+T139+T140</f>
        <v>0</v>
      </c>
      <c r="U141" s="70" t="n">
        <f aca="false">U138+U139+U140</f>
        <v>0</v>
      </c>
      <c r="V141" s="70" t="n">
        <f aca="false">V138+V139+V140</f>
        <v>0</v>
      </c>
      <c r="W141" s="70" t="n">
        <f aca="false">W138+W139+W140</f>
        <v>0</v>
      </c>
      <c r="X141" s="70" t="n">
        <f aca="false">X138+X139+X140</f>
        <v>0</v>
      </c>
      <c r="Y141" s="70" t="n">
        <f aca="false">Y138+Y139+Y140</f>
        <v>0</v>
      </c>
      <c r="Z141" s="70" t="n">
        <f aca="false">Z138+Z139+Z140</f>
        <v>0</v>
      </c>
      <c r="AA141" s="70" t="n">
        <f aca="false">AA138+AA139+AA140</f>
        <v>0</v>
      </c>
      <c r="AB141" s="70" t="n">
        <f aca="false">AB138+AB139+AB140</f>
        <v>0</v>
      </c>
    </row>
    <row r="142" customFormat="false" ht="15" hidden="false" customHeight="false" outlineLevel="0" collapsed="false">
      <c r="A142" s="23" t="s">
        <v>1061</v>
      </c>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row>
    <row r="143" customFormat="false" ht="15" hidden="false" customHeight="false" outlineLevel="0" collapsed="false">
      <c r="A143" s="29" t="s">
        <v>1039</v>
      </c>
      <c r="B143" s="60"/>
      <c r="C143" s="66" t="n">
        <f aca="false">SUM(E143:P143)</f>
        <v>5880</v>
      </c>
      <c r="D143" s="66" t="n">
        <f aca="false">SUM(Q143:AB143)</f>
        <v>5908</v>
      </c>
      <c r="E143" s="72" t="n">
        <f aca="false">E9+E52+E95</f>
        <v>476</v>
      </c>
      <c r="F143" s="72" t="n">
        <f aca="false">F9+F52+F95</f>
        <v>462</v>
      </c>
      <c r="G143" s="72" t="n">
        <f aca="false">G9+G52+G95</f>
        <v>523.6</v>
      </c>
      <c r="H143" s="72" t="n">
        <f aca="false">H9+H52+H95</f>
        <v>462</v>
      </c>
      <c r="I143" s="72" t="n">
        <f aca="false">I9+I52+I95</f>
        <v>394.8</v>
      </c>
      <c r="J143" s="72" t="n">
        <f aca="false">J9+J52+J95</f>
        <v>506.8</v>
      </c>
      <c r="K143" s="72" t="n">
        <f aca="false">K9+K52+K95</f>
        <v>546</v>
      </c>
      <c r="L143" s="72" t="n">
        <f aca="false">L9+L52+L95</f>
        <v>425.6</v>
      </c>
      <c r="M143" s="72" t="n">
        <f aca="false">M9+M52+M95</f>
        <v>534.8</v>
      </c>
      <c r="N143" s="72" t="n">
        <f aca="false">N9+N52+N95</f>
        <v>515.2</v>
      </c>
      <c r="O143" s="72" t="n">
        <f aca="false">O9+O52+O95</f>
        <v>509.6</v>
      </c>
      <c r="P143" s="72" t="n">
        <f aca="false">P9+P52+P95</f>
        <v>523.6</v>
      </c>
      <c r="Q143" s="72" t="n">
        <f aca="false">Q9+Q52+Q95</f>
        <v>448</v>
      </c>
      <c r="R143" s="72" t="n">
        <f aca="false">R9+R52+R95</f>
        <v>462</v>
      </c>
      <c r="S143" s="72" t="n">
        <f aca="false">S9+S52+S95</f>
        <v>495.6</v>
      </c>
      <c r="T143" s="72" t="n">
        <f aca="false">T9+T52+T95</f>
        <v>518</v>
      </c>
      <c r="U143" s="72" t="n">
        <f aca="false">U9+U52+U95</f>
        <v>394.8</v>
      </c>
      <c r="V143" s="72" t="n">
        <f aca="false">V9+V52+V95</f>
        <v>534.8</v>
      </c>
      <c r="W143" s="72" t="n">
        <f aca="false">W9+W52+W95</f>
        <v>518</v>
      </c>
      <c r="X143" s="72" t="n">
        <f aca="false">X9+X52+X95</f>
        <v>453.6</v>
      </c>
      <c r="Y143" s="72" t="n">
        <f aca="false">Y9+Y52+Y95</f>
        <v>534.8</v>
      </c>
      <c r="Z143" s="72" t="n">
        <f aca="false">Z9+Z52+Z95</f>
        <v>487.2</v>
      </c>
      <c r="AA143" s="72" t="n">
        <f aca="false">AA9+AA52+AA95</f>
        <v>509.6</v>
      </c>
      <c r="AB143" s="72" t="n">
        <f aca="false">AB9+AB52+AB95</f>
        <v>551.6</v>
      </c>
    </row>
    <row r="144" customFormat="false" ht="15" hidden="false" customHeight="false" outlineLevel="0" collapsed="false">
      <c r="A144" s="29" t="s">
        <v>996</v>
      </c>
      <c r="B144" s="60"/>
      <c r="C144" s="66" t="n">
        <f aca="false">SUM(E144:P144)</f>
        <v>1924.45914737803</v>
      </c>
      <c r="D144" s="66" t="n">
        <f aca="false">SUM(Q144:AB144)</f>
        <v>2054.57232088391</v>
      </c>
      <c r="E144" s="72" t="n">
        <f aca="false">E13+E56+E99</f>
        <v>107.3</v>
      </c>
      <c r="F144" s="72" t="n">
        <f aca="false">F13+F56+F99</f>
        <v>119.9</v>
      </c>
      <c r="G144" s="72" t="n">
        <f aca="false">G13+G56+G99</f>
        <v>165.1</v>
      </c>
      <c r="H144" s="72" t="n">
        <f aca="false">H13+H56+H99</f>
        <v>141.8</v>
      </c>
      <c r="I144" s="72" t="n">
        <f aca="false">I13+I56+I99</f>
        <v>140.9</v>
      </c>
      <c r="J144" s="72" t="n">
        <f aca="false">J13+J56+J99</f>
        <v>174.1</v>
      </c>
      <c r="K144" s="72" t="n">
        <f aca="false">K13+K56+K99</f>
        <v>163.1</v>
      </c>
      <c r="L144" s="72" t="n">
        <f aca="false">L13+L56+L99</f>
        <v>134.4</v>
      </c>
      <c r="M144" s="72" t="n">
        <f aca="false">M13+M56+M99</f>
        <v>201.712621294084</v>
      </c>
      <c r="N144" s="72" t="n">
        <f aca="false">N13+N56+N99</f>
        <v>180.791339610045</v>
      </c>
      <c r="O144" s="72" t="n">
        <f aca="false">O13+O56+O99</f>
        <v>193.332737321592</v>
      </c>
      <c r="P144" s="72" t="n">
        <f aca="false">P13+P56+P99</f>
        <v>202.022449152309</v>
      </c>
      <c r="Q144" s="72" t="n">
        <f aca="false">Q13+Q56+Q99</f>
        <v>175.056814436101</v>
      </c>
      <c r="R144" s="72" t="n">
        <f aca="false">R13+R56+R99</f>
        <v>183.609681610693</v>
      </c>
      <c r="S144" s="72" t="n">
        <f aca="false">S13+S56+S99</f>
        <v>183.00366346017</v>
      </c>
      <c r="T144" s="72" t="n">
        <f aca="false">T13+T56+T99</f>
        <v>182.961596838834</v>
      </c>
      <c r="U144" s="72" t="n">
        <f aca="false">U13+U56+U99</f>
        <v>137.850542602964</v>
      </c>
      <c r="V144" s="72" t="n">
        <f aca="false">V13+V56+V99</f>
        <v>183.48276652187</v>
      </c>
      <c r="W144" s="72" t="n">
        <f aca="false">W13+W56+W99</f>
        <v>174.7594092459</v>
      </c>
      <c r="X144" s="72" t="n">
        <f aca="false">X13+X56+X99</f>
        <v>150.543266580254</v>
      </c>
      <c r="Y144" s="72" t="n">
        <f aca="false">Y13+Y56+Y99</f>
        <v>177.492369856966</v>
      </c>
      <c r="Z144" s="72" t="n">
        <f aca="false">Z13+Z56+Z99</f>
        <v>159.793694804781</v>
      </c>
      <c r="AA144" s="72" t="n">
        <f aca="false">AA13+AA56+AA99</f>
        <v>166.161925373134</v>
      </c>
      <c r="AB144" s="72" t="n">
        <f aca="false">AB13+AB56+AB99</f>
        <v>179.856589552239</v>
      </c>
    </row>
    <row r="145" customFormat="false" ht="15" hidden="false" customHeight="false" outlineLevel="0" collapsed="false">
      <c r="A145" s="29" t="s">
        <v>998</v>
      </c>
      <c r="B145" s="60"/>
      <c r="C145" s="66" t="n">
        <f aca="false">SUM(E145:P145)</f>
        <v>1.374</v>
      </c>
      <c r="D145" s="66" t="n">
        <f aca="false">SUM(Q145:AB145)</f>
        <v>0</v>
      </c>
      <c r="E145" s="72" t="n">
        <f aca="false">E14+E57+E100</f>
        <v>0.1405</v>
      </c>
      <c r="F145" s="72" t="n">
        <f aca="false">F14+F57+F100</f>
        <v>0.149</v>
      </c>
      <c r="G145" s="72" t="n">
        <f aca="false">G14+G57+G100</f>
        <v>0.1945</v>
      </c>
      <c r="H145" s="72" t="n">
        <f aca="false">H14+H57+H100</f>
        <v>0.1235</v>
      </c>
      <c r="I145" s="72" t="n">
        <f aca="false">I14+I57+I100</f>
        <v>0.21</v>
      </c>
      <c r="J145" s="72" t="n">
        <f aca="false">J14+J57+J100</f>
        <v>0.162</v>
      </c>
      <c r="K145" s="72" t="n">
        <f aca="false">K14+K57+K100</f>
        <v>0.183</v>
      </c>
      <c r="L145" s="72" t="n">
        <f aca="false">L14+L57+L100</f>
        <v>0.2115</v>
      </c>
      <c r="M145" s="72" t="n">
        <f aca="false">M14+M57+M100</f>
        <v>0</v>
      </c>
      <c r="N145" s="72" t="n">
        <f aca="false">N14+N57+N100</f>
        <v>0</v>
      </c>
      <c r="O145" s="72" t="n">
        <f aca="false">O14+O57+O100</f>
        <v>0</v>
      </c>
      <c r="P145" s="72" t="n">
        <f aca="false">P14+P57+P100</f>
        <v>0</v>
      </c>
      <c r="Q145" s="72" t="n">
        <f aca="false">Q14+Q57+Q100</f>
        <v>0</v>
      </c>
      <c r="R145" s="72" t="n">
        <f aca="false">R14+R57+R100</f>
        <v>0</v>
      </c>
      <c r="S145" s="72" t="n">
        <f aca="false">S14+S57+S100</f>
        <v>0</v>
      </c>
      <c r="T145" s="72" t="n">
        <f aca="false">T14+T57+T100</f>
        <v>0</v>
      </c>
      <c r="U145" s="72" t="n">
        <f aca="false">U14+U57+U100</f>
        <v>0</v>
      </c>
      <c r="V145" s="72" t="n">
        <f aca="false">V14+V57+V100</f>
        <v>0</v>
      </c>
      <c r="W145" s="72" t="n">
        <f aca="false">W14+W57+W100</f>
        <v>0</v>
      </c>
      <c r="X145" s="72" t="n">
        <f aca="false">X14+X57+X100</f>
        <v>0</v>
      </c>
      <c r="Y145" s="72" t="n">
        <f aca="false">Y14+Y57+Y100</f>
        <v>0</v>
      </c>
      <c r="Z145" s="72" t="n">
        <f aca="false">Z14+Z57+Z100</f>
        <v>0</v>
      </c>
      <c r="AA145" s="72" t="n">
        <f aca="false">AA14+AA57+AA100</f>
        <v>0</v>
      </c>
      <c r="AB145" s="72" t="n">
        <f aca="false">AB14+AB57+AB100</f>
        <v>0</v>
      </c>
    </row>
    <row r="146" customFormat="false" ht="15" hidden="false" customHeight="false" outlineLevel="0" collapsed="false">
      <c r="A146" s="68" t="s">
        <v>1062</v>
      </c>
      <c r="B146" s="69"/>
      <c r="C146" s="75" t="n">
        <f aca="false">IF(C143=0,0,C144/C143)</f>
        <v>0.327288970642522</v>
      </c>
      <c r="D146" s="75" t="n">
        <f aca="false">IF(D143=0,0,D144/D143)</f>
        <v>0.347761056344601</v>
      </c>
      <c r="E146" s="75" t="n">
        <f aca="false">IF(E143=0,0,E144/E143)</f>
        <v>0.225420168067227</v>
      </c>
      <c r="F146" s="75" t="n">
        <f aca="false">IF(F143=0,0,F144/F143)</f>
        <v>0.25952380952381</v>
      </c>
      <c r="G146" s="75" t="n">
        <f aca="false">IF(G143=0,0,G144/G143)</f>
        <v>0.315317035905271</v>
      </c>
      <c r="H146" s="75" t="n">
        <f aca="false">IF(H143=0,0,H144/H143)</f>
        <v>0.306926406926407</v>
      </c>
      <c r="I146" s="75" t="n">
        <f aca="false">IF(I143=0,0,I144/I143)</f>
        <v>0.356889564336373</v>
      </c>
      <c r="J146" s="75" t="n">
        <f aca="false">IF(J143=0,0,J144/J143)</f>
        <v>0.343528018942384</v>
      </c>
      <c r="K146" s="75" t="n">
        <f aca="false">IF(K143=0,0,K144/K143)</f>
        <v>0.298717948717949</v>
      </c>
      <c r="L146" s="75" t="n">
        <f aca="false">IF(L143=0,0,L144/L143)</f>
        <v>0.315789473684211</v>
      </c>
      <c r="M146" s="75" t="n">
        <f aca="false">IF(M143=0,0,M144/M143)</f>
        <v>0.377173936600756</v>
      </c>
      <c r="N146" s="75" t="n">
        <f aca="false">IF(N143=0,0,N144/N143)</f>
        <v>0.350914867255522</v>
      </c>
      <c r="O146" s="75" t="n">
        <f aca="false">IF(O143=0,0,O144/O143)</f>
        <v>0.379381352671884</v>
      </c>
      <c r="P146" s="75" t="n">
        <f aca="false">IF(P143=0,0,P144/P143)</f>
        <v>0.385833554530765</v>
      </c>
      <c r="Q146" s="75" t="n">
        <f aca="false">IF(Q143=0,0,Q144/Q143)</f>
        <v>0.390751817937725</v>
      </c>
      <c r="R146" s="75" t="n">
        <f aca="false">IF(R143=0,0,R144/R143)</f>
        <v>0.397423553269898</v>
      </c>
      <c r="S146" s="75" t="n">
        <f aca="false">IF(S143=0,0,S144/S143)</f>
        <v>0.369256786642797</v>
      </c>
      <c r="T146" s="75" t="n">
        <f aca="false">IF(T143=0,0,T144/T143)</f>
        <v>0.353207715905084</v>
      </c>
      <c r="U146" s="75" t="n">
        <f aca="false">IF(U143=0,0,U144/U143)</f>
        <v>0.349165508112876</v>
      </c>
      <c r="V146" s="75" t="n">
        <f aca="false">IF(V143=0,0,V144/V143)</f>
        <v>0.343086698806788</v>
      </c>
      <c r="W146" s="75" t="n">
        <f aca="false">IF(W143=0,0,W144/W143)</f>
        <v>0.337373376922587</v>
      </c>
      <c r="X146" s="75" t="n">
        <f aca="false">IF(X143=0,0,X144/X143)</f>
        <v>0.331885508333893</v>
      </c>
      <c r="Y146" s="75" t="n">
        <f aca="false">IF(Y143=0,0,Y144/Y143)</f>
        <v>0.331885508333893</v>
      </c>
      <c r="Z146" s="75" t="n">
        <f aca="false">IF(Z143=0,0,Z144/Z143)</f>
        <v>0.327983774229847</v>
      </c>
      <c r="AA146" s="75" t="n">
        <f aca="false">IF(AA143=0,0,AA144/AA143)</f>
        <v>0.326063432835821</v>
      </c>
      <c r="AB146" s="75" t="n">
        <f aca="false">IF(AB143=0,0,AB144/AB143)</f>
        <v>0.326063432835821</v>
      </c>
    </row>
    <row r="147" customFormat="false" ht="15" hidden="false" customHeight="false" outlineLevel="0" collapsed="false">
      <c r="A147" s="29" t="s">
        <v>1002</v>
      </c>
      <c r="B147" s="60"/>
      <c r="C147" s="66" t="n">
        <f aca="false">SUM(E147:P147)</f>
        <v>5023.41700534361</v>
      </c>
      <c r="D147" s="66" t="n">
        <f aca="false">SUM(Q147:AB147)</f>
        <v>5001.47569956078</v>
      </c>
      <c r="E147" s="72" t="n">
        <f aca="false">E16+E59+E102</f>
        <v>408</v>
      </c>
      <c r="F147" s="72" t="n">
        <f aca="false">F16+F59+F102</f>
        <v>396</v>
      </c>
      <c r="G147" s="72" t="n">
        <f aca="false">G16+G59+G102</f>
        <v>448.8</v>
      </c>
      <c r="H147" s="72" t="n">
        <f aca="false">H16+H59+H102</f>
        <v>396</v>
      </c>
      <c r="I147" s="72" t="n">
        <f aca="false">I16+I59+I102</f>
        <v>338.4</v>
      </c>
      <c r="J147" s="72" t="n">
        <f aca="false">J16+J59+J102</f>
        <v>434.4</v>
      </c>
      <c r="K147" s="72" t="n">
        <f aca="false">K16+K59+K102</f>
        <v>468</v>
      </c>
      <c r="L147" s="72" t="n">
        <f aca="false">L16+L59+L102</f>
        <v>364.8</v>
      </c>
      <c r="M147" s="72" t="n">
        <f aca="false">M16+M59+M102</f>
        <v>456.49</v>
      </c>
      <c r="N147" s="72" t="n">
        <f aca="false">N16+N59+N102</f>
        <v>437.927666666667</v>
      </c>
      <c r="O147" s="72" t="n">
        <f aca="false">O16+O59+O102</f>
        <v>431.362718402778</v>
      </c>
      <c r="P147" s="72" t="n">
        <f aca="false">P16+P59+P102</f>
        <v>443.236620274161</v>
      </c>
      <c r="Q147" s="72" t="n">
        <f aca="false">Q16+Q59+Q102</f>
        <v>379.253056133777</v>
      </c>
      <c r="R147" s="72" t="n">
        <f aca="false">R16+R59+R102</f>
        <v>391.111389808216</v>
      </c>
      <c r="S147" s="72" t="n">
        <f aca="false">S16+S59+S102</f>
        <v>419.555672187163</v>
      </c>
      <c r="T147" s="72" t="n">
        <f aca="false">T16+T59+T102</f>
        <v>438.518546593444</v>
      </c>
      <c r="U147" s="72" t="n">
        <f aca="false">U16+U59+U102</f>
        <v>334.22222075361</v>
      </c>
      <c r="V147" s="72" t="n">
        <f aca="false">V16+V59+V102</f>
        <v>452.740740103854</v>
      </c>
      <c r="W147" s="72" t="n">
        <f aca="false">W16+W59+W102</f>
        <v>438.518518412139</v>
      </c>
      <c r="X147" s="72" t="n">
        <f aca="false">X16+X59+X102</f>
        <v>384.00000000967</v>
      </c>
      <c r="Y147" s="72" t="n">
        <f aca="false">Y16+Y59+Y102</f>
        <v>452.740740743805</v>
      </c>
      <c r="Z147" s="72" t="n">
        <f aca="false">Z16+Z59+Z102</f>
        <v>412.444444444806</v>
      </c>
      <c r="AA147" s="72" t="n">
        <f aca="false">AA16+AA59+AA102</f>
        <v>431.407407407348</v>
      </c>
      <c r="AB147" s="72" t="n">
        <f aca="false">AB16+AB59+AB102</f>
        <v>466.962962962948</v>
      </c>
    </row>
    <row r="148" customFormat="false" ht="15" hidden="false" customHeight="false" outlineLevel="0" collapsed="false">
      <c r="A148" s="29" t="s">
        <v>1006</v>
      </c>
      <c r="B148" s="60"/>
      <c r="C148" s="66" t="n">
        <f aca="false">SUM(E148:P148)</f>
        <v>2680.40770235189</v>
      </c>
      <c r="D148" s="66" t="n">
        <f aca="false">SUM(Q148:AB148)</f>
        <v>2642.83450249491</v>
      </c>
      <c r="E148" s="72" t="n">
        <f aca="false">E20+E63+E106</f>
        <v>162.7</v>
      </c>
      <c r="F148" s="72" t="n">
        <f aca="false">F20+F63+F106</f>
        <v>179.7</v>
      </c>
      <c r="G148" s="72" t="n">
        <f aca="false">G20+G63+G106</f>
        <v>236.6</v>
      </c>
      <c r="H148" s="72" t="n">
        <f aca="false">H20+H63+H106</f>
        <v>204</v>
      </c>
      <c r="I148" s="72" t="n">
        <f aca="false">I20+I63+I106</f>
        <v>205.5</v>
      </c>
      <c r="J148" s="72" t="n">
        <f aca="false">J20+J63+J106</f>
        <v>255.3</v>
      </c>
      <c r="K148" s="72" t="n">
        <f aca="false">K20+K63+K106</f>
        <v>223.8</v>
      </c>
      <c r="L148" s="72" t="n">
        <f aca="false">L20+L63+L106</f>
        <v>180</v>
      </c>
      <c r="M148" s="72" t="n">
        <f aca="false">M20+M63+M106</f>
        <v>278.20287301657</v>
      </c>
      <c r="N148" s="72" t="n">
        <f aca="false">N20+N63+N106</f>
        <v>247.013278442178</v>
      </c>
      <c r="O148" s="72" t="n">
        <f aca="false">O20+O63+O106</f>
        <v>249.207082149609</v>
      </c>
      <c r="P148" s="72" t="n">
        <f aca="false">P20+P63+P106</f>
        <v>258.384468743537</v>
      </c>
      <c r="Q148" s="72" t="n">
        <f aca="false">Q20+Q63+Q106</f>
        <v>222.761398987663</v>
      </c>
      <c r="R148" s="72" t="n">
        <f aca="false">R20+R63+R106</f>
        <v>234.823442195698</v>
      </c>
      <c r="S148" s="72" t="n">
        <f aca="false">S20+S63+S106</f>
        <v>237.421124906117</v>
      </c>
      <c r="T148" s="72" t="n">
        <f aca="false">T20+T63+T106</f>
        <v>236.468486757125</v>
      </c>
      <c r="U148" s="72" t="n">
        <f aca="false">U20+U63+U106</f>
        <v>177.922185810585</v>
      </c>
      <c r="V148" s="72" t="n">
        <f aca="false">V20+V63+V106</f>
        <v>236.951286826216</v>
      </c>
      <c r="W148" s="72" t="n">
        <f aca="false">W20+W63+W106</f>
        <v>225.232956753546</v>
      </c>
      <c r="X148" s="72" t="n">
        <f aca="false">X20+X63+X106</f>
        <v>193.635370139635</v>
      </c>
      <c r="Y148" s="72" t="n">
        <f aca="false">Y20+Y63+Y106</f>
        <v>228.298491950753</v>
      </c>
      <c r="Z148" s="72" t="n">
        <f aca="false">Z20+Z63+Z106</f>
        <v>205.232950539087</v>
      </c>
      <c r="AA148" s="72" t="n">
        <f aca="false">AA20+AA63+AA106</f>
        <v>213.255406301796</v>
      </c>
      <c r="AB148" s="72" t="n">
        <f aca="false">AB20+AB63+AB106</f>
        <v>230.831401326693</v>
      </c>
    </row>
    <row r="149" customFormat="false" ht="15" hidden="false" customHeight="false" outlineLevel="0" collapsed="false">
      <c r="A149" s="29" t="s">
        <v>1007</v>
      </c>
      <c r="B149" s="60"/>
      <c r="C149" s="66" t="n">
        <f aca="false">SUM(E149:P149)</f>
        <v>1.411</v>
      </c>
      <c r="D149" s="66" t="n">
        <f aca="false">SUM(Q149:AB149)</f>
        <v>0</v>
      </c>
      <c r="E149" s="72" t="n">
        <f aca="false">E21+E64+E107</f>
        <v>0.1775</v>
      </c>
      <c r="F149" s="72" t="n">
        <f aca="false">F21+F64+F107</f>
        <v>0.181</v>
      </c>
      <c r="G149" s="72" t="n">
        <f aca="false">G21+G64+G107</f>
        <v>0.2185</v>
      </c>
      <c r="H149" s="72" t="n">
        <f aca="false">H21+H64+H107</f>
        <v>0.1815</v>
      </c>
      <c r="I149" s="72" t="n">
        <f aca="false">I21+I64+I107</f>
        <v>0.169</v>
      </c>
      <c r="J149" s="72" t="n">
        <f aca="false">J21+J64+J107</f>
        <v>0.261</v>
      </c>
      <c r="K149" s="72" t="n">
        <f aca="false">K21+K64+K107</f>
        <v>0.132</v>
      </c>
      <c r="L149" s="72" t="n">
        <f aca="false">L21+L64+L107</f>
        <v>0.0905</v>
      </c>
      <c r="M149" s="72" t="n">
        <f aca="false">M21+M64+M107</f>
        <v>0</v>
      </c>
      <c r="N149" s="72" t="n">
        <f aca="false">N21+N64+N107</f>
        <v>0</v>
      </c>
      <c r="O149" s="72" t="n">
        <f aca="false">O21+O64+O107</f>
        <v>0</v>
      </c>
      <c r="P149" s="72" t="n">
        <f aca="false">P21+P64+P107</f>
        <v>0</v>
      </c>
      <c r="Q149" s="72" t="n">
        <f aca="false">Q21+Q64+Q107</f>
        <v>0</v>
      </c>
      <c r="R149" s="72" t="n">
        <f aca="false">R21+R64+R107</f>
        <v>0</v>
      </c>
      <c r="S149" s="72" t="n">
        <f aca="false">S21+S64+S107</f>
        <v>0</v>
      </c>
      <c r="T149" s="72" t="n">
        <f aca="false">T21+T64+T107</f>
        <v>0</v>
      </c>
      <c r="U149" s="72" t="n">
        <f aca="false">U21+U64+U107</f>
        <v>0</v>
      </c>
      <c r="V149" s="72" t="n">
        <f aca="false">V21+V64+V107</f>
        <v>0</v>
      </c>
      <c r="W149" s="72" t="n">
        <f aca="false">W21+W64+W107</f>
        <v>0</v>
      </c>
      <c r="X149" s="72" t="n">
        <f aca="false">X21+X64+X107</f>
        <v>0</v>
      </c>
      <c r="Y149" s="72" t="n">
        <f aca="false">Y21+Y64+Y107</f>
        <v>0</v>
      </c>
      <c r="Z149" s="72" t="n">
        <f aca="false">Z21+Z64+Z107</f>
        <v>0</v>
      </c>
      <c r="AA149" s="72" t="n">
        <f aca="false">AA21+AA64+AA107</f>
        <v>0</v>
      </c>
      <c r="AB149" s="72" t="n">
        <f aca="false">AB21+AB64+AB107</f>
        <v>0</v>
      </c>
    </row>
    <row r="150" customFormat="false" ht="15" hidden="false" customHeight="false" outlineLevel="0" collapsed="false">
      <c r="A150" s="68" t="s">
        <v>1063</v>
      </c>
      <c r="B150" s="69"/>
      <c r="C150" s="75" t="n">
        <f aca="false">IF(C147=0,0,C148/C147)</f>
        <v>0.533582559341707</v>
      </c>
      <c r="D150" s="75" t="n">
        <f aca="false">IF(D147=0,0,D148/D147)</f>
        <v>0.528410945338993</v>
      </c>
      <c r="E150" s="75" t="n">
        <f aca="false">IF(E147=0,0,E148/E147)</f>
        <v>0.398774509803922</v>
      </c>
      <c r="F150" s="75" t="n">
        <f aca="false">IF(F147=0,0,F148/F147)</f>
        <v>0.453787878787879</v>
      </c>
      <c r="G150" s="75" t="n">
        <f aca="false">IF(G147=0,0,G148/G147)</f>
        <v>0.527183600713013</v>
      </c>
      <c r="H150" s="75" t="n">
        <f aca="false">IF(H147=0,0,H148/H147)</f>
        <v>0.515151515151515</v>
      </c>
      <c r="I150" s="75" t="n">
        <f aca="false">IF(I147=0,0,I148/I147)</f>
        <v>0.607269503546099</v>
      </c>
      <c r="J150" s="75" t="n">
        <f aca="false">IF(J147=0,0,J148/J147)</f>
        <v>0.587707182320442</v>
      </c>
      <c r="K150" s="75" t="n">
        <f aca="false">IF(K147=0,0,K148/K147)</f>
        <v>0.478205128205128</v>
      </c>
      <c r="L150" s="75" t="n">
        <f aca="false">IF(L147=0,0,L148/L147)</f>
        <v>0.493421052631579</v>
      </c>
      <c r="M150" s="75" t="n">
        <f aca="false">IF(M147=0,0,M148/M147)</f>
        <v>0.609439139995552</v>
      </c>
      <c r="N150" s="75" t="n">
        <f aca="false">IF(N147=0,0,N148/N147)</f>
        <v>0.564050406594189</v>
      </c>
      <c r="O150" s="75" t="n">
        <f aca="false">IF(O147=0,0,O148/O147)</f>
        <v>0.577720492564486</v>
      </c>
      <c r="P150" s="75" t="n">
        <f aca="false">IF(P147=0,0,P148/P147)</f>
        <v>0.582949280191954</v>
      </c>
      <c r="Q150" s="75" t="n">
        <f aca="false">IF(Q147=0,0,Q148/Q147)</f>
        <v>0.587368764430172</v>
      </c>
      <c r="R150" s="75" t="n">
        <f aca="false">IF(R147=0,0,R148/R147)</f>
        <v>0.600400418691068</v>
      </c>
      <c r="S150" s="75" t="n">
        <f aca="false">IF(S147=0,0,S148/S147)</f>
        <v>0.565887057773358</v>
      </c>
      <c r="T150" s="75" t="n">
        <f aca="false">IF(T147=0,0,T148/T147)</f>
        <v>0.539243980885393</v>
      </c>
      <c r="U150" s="75" t="n">
        <f aca="false">IF(U147=0,0,U148/U147)</f>
        <v>0.532346967862888</v>
      </c>
      <c r="V150" s="75" t="n">
        <f aca="false">IF(V147=0,0,V148/V147)</f>
        <v>0.5233708076986</v>
      </c>
      <c r="W150" s="75" t="n">
        <f aca="false">IF(W147=0,0,W148/W147)</f>
        <v>0.513622452180828</v>
      </c>
      <c r="X150" s="75" t="n">
        <f aca="false">IF(X147=0,0,X148/X147)</f>
        <v>0.504258776392601</v>
      </c>
      <c r="Y150" s="75" t="n">
        <f aca="false">IF(Y147=0,0,Y148/Y147)</f>
        <v>0.504258776393048</v>
      </c>
      <c r="Z150" s="75" t="n">
        <f aca="false">IF(Z147=0,0,Z148/Z147)</f>
        <v>0.497601442578168</v>
      </c>
      <c r="AA150" s="75" t="n">
        <f aca="false">IF(AA147=0,0,AA148/AA147)</f>
        <v>0.494324860074629</v>
      </c>
      <c r="AB150" s="75" t="n">
        <f aca="false">IF(AB147=0,0,AB148/AB147)</f>
        <v>0.494324860074627</v>
      </c>
    </row>
    <row r="151" customFormat="false" ht="15" hidden="false" customHeight="false" outlineLevel="0" collapsed="false">
      <c r="A151" s="29" t="s">
        <v>1009</v>
      </c>
      <c r="B151" s="60"/>
      <c r="C151" s="66" t="n">
        <f aca="false">SUM(E151:P151)</f>
        <v>11546.9705467168</v>
      </c>
      <c r="D151" s="66" t="n">
        <f aca="false">SUM(Q151:AB151)</f>
        <v>13174.304121183</v>
      </c>
      <c r="E151" s="72" t="n">
        <f aca="false">E23+E66+E109</f>
        <v>816</v>
      </c>
      <c r="F151" s="72" t="n">
        <f aca="false">F23+F66+F109</f>
        <v>924</v>
      </c>
      <c r="G151" s="72" t="n">
        <f aca="false">G23+G66+G109</f>
        <v>1047.2</v>
      </c>
      <c r="H151" s="72" t="n">
        <f aca="false">H23+H66+H109</f>
        <v>924</v>
      </c>
      <c r="I151" s="72" t="n">
        <f aca="false">I23+I66+I109</f>
        <v>789.6</v>
      </c>
      <c r="J151" s="72" t="n">
        <f aca="false">J23+J66+J109</f>
        <v>1013.6</v>
      </c>
      <c r="K151" s="72" t="n">
        <f aca="false">K23+K66+K109</f>
        <v>1092</v>
      </c>
      <c r="L151" s="72" t="n">
        <f aca="false">L23+L66+L109</f>
        <v>851.2</v>
      </c>
      <c r="M151" s="72" t="n">
        <f aca="false">M23+M66+M109</f>
        <v>1060.68666666667</v>
      </c>
      <c r="N151" s="72" t="n">
        <f aca="false">N23+N66+N109</f>
        <v>1013.29822222222</v>
      </c>
      <c r="O151" s="72" t="n">
        <f aca="false">O23+O66+O109</f>
        <v>993.931743518519</v>
      </c>
      <c r="P151" s="72" t="n">
        <f aca="false">P23+P66+P109</f>
        <v>1021.45391430941</v>
      </c>
      <c r="Q151" s="72" t="n">
        <f aca="false">Q23+Q66+Q109</f>
        <v>938.092614161523</v>
      </c>
      <c r="R151" s="72" t="n">
        <f aca="false">R23+R66+R109</f>
        <v>966.918476340009</v>
      </c>
      <c r="S151" s="72" t="n">
        <f aca="false">S23+S66+S109</f>
        <v>1036.65137095979</v>
      </c>
      <c r="T151" s="72" t="n">
        <f aca="false">T23+T66+T109</f>
        <v>1179.09753357306</v>
      </c>
      <c r="U151" s="72" t="n">
        <f aca="false">U23+U66+U109</f>
        <v>898.06378051013</v>
      </c>
      <c r="V151" s="72" t="n">
        <f aca="false">V23+V66+V109</f>
        <v>1215.71574130552</v>
      </c>
      <c r="W151" s="72" t="n">
        <f aca="false">W23+W66+W109</f>
        <v>1176.74221762005</v>
      </c>
      <c r="X151" s="72" t="n">
        <f aca="false">X23+X66+X109</f>
        <v>1030.46172395127</v>
      </c>
      <c r="Y151" s="72" t="n">
        <f aca="false">Y23+Y66+Y109</f>
        <v>1214.94041945269</v>
      </c>
      <c r="Z151" s="72" t="n">
        <f aca="false">Z23+Z66+Z109</f>
        <v>1106.81024712804</v>
      </c>
      <c r="AA151" s="72" t="n">
        <f aca="false">AA23+AA66+AA109</f>
        <v>1157.69775655558</v>
      </c>
      <c r="AB151" s="72" t="n">
        <f aca="false">AB23+AB66+AB109</f>
        <v>1253.11223962534</v>
      </c>
    </row>
    <row r="152" customFormat="false" ht="15" hidden="false" customHeight="false" outlineLevel="0" collapsed="false">
      <c r="A152" s="29" t="s">
        <v>1013</v>
      </c>
      <c r="B152" s="60"/>
      <c r="C152" s="66" t="n">
        <f aca="false">SUM(E152:P152)</f>
        <v>8220.95421291565</v>
      </c>
      <c r="D152" s="66" t="n">
        <f aca="false">SUM(Q152:AB152)</f>
        <v>8809.77609697865</v>
      </c>
      <c r="E152" s="72" t="n">
        <f aca="false">E27+E70+E113</f>
        <v>518.1</v>
      </c>
      <c r="F152" s="72" t="n">
        <f aca="false">F27+F70+F113</f>
        <v>602.5</v>
      </c>
      <c r="G152" s="72" t="n">
        <f aca="false">G27+G70+G113</f>
        <v>766.5</v>
      </c>
      <c r="H152" s="72" t="n">
        <f aca="false">H27+H70+H113</f>
        <v>638.3</v>
      </c>
      <c r="I152" s="72" t="n">
        <f aca="false">I27+I70+I113</f>
        <v>653</v>
      </c>
      <c r="J152" s="72" t="n">
        <f aca="false">J27+J70+J113</f>
        <v>799</v>
      </c>
      <c r="K152" s="72" t="n">
        <f aca="false">K27+K70+K113</f>
        <v>679.9</v>
      </c>
      <c r="L152" s="72" t="n">
        <f aca="false">L27+L70+L113</f>
        <v>537.2</v>
      </c>
      <c r="M152" s="72" t="n">
        <f aca="false">M27+M70+M113</f>
        <v>783.837692601364</v>
      </c>
      <c r="N152" s="72" t="n">
        <f aca="false">N27+N70+N113</f>
        <v>693.239249523058</v>
      </c>
      <c r="O152" s="72" t="n">
        <f aca="false">O27+O70+O113</f>
        <v>756.790097417014</v>
      </c>
      <c r="P152" s="72" t="n">
        <f aca="false">P27+P70+P113</f>
        <v>792.587173374211</v>
      </c>
      <c r="Q152" s="72" t="n">
        <f aca="false">Q27+Q70+Q113</f>
        <v>730.322605239921</v>
      </c>
      <c r="R152" s="72" t="n">
        <f aca="false">R27+R70+R113</f>
        <v>757.80600543035</v>
      </c>
      <c r="S152" s="72" t="n">
        <f aca="false">S27+S70+S113</f>
        <v>760.969468919709</v>
      </c>
      <c r="T152" s="72" t="n">
        <f aca="false">T27+T70+T113</f>
        <v>789.731252436161</v>
      </c>
      <c r="U152" s="72" t="n">
        <f aca="false">U27+U70+U113</f>
        <v>595.159977291531</v>
      </c>
      <c r="V152" s="72" t="n">
        <f aca="false">V27+V70+V113</f>
        <v>795.030130273776</v>
      </c>
      <c r="W152" s="72" t="n">
        <f aca="false">W27+W70+W113</f>
        <v>757.747258600406</v>
      </c>
      <c r="X152" s="72" t="n">
        <f aca="false">X27+X70+X113</f>
        <v>653.593966363417</v>
      </c>
      <c r="Y152" s="72" t="n">
        <f aca="false">Y27+Y70+Y113</f>
        <v>770.603350502463</v>
      </c>
      <c r="Z152" s="72" t="n">
        <f aca="false">Z27+Z70+Z113</f>
        <v>694.415449884006</v>
      </c>
      <c r="AA152" s="72" t="n">
        <f aca="false">AA27+AA70+AA113</f>
        <v>722.427982291559</v>
      </c>
      <c r="AB152" s="72" t="n">
        <f aca="false">AB27+AB70+AB113</f>
        <v>781.968649745353</v>
      </c>
    </row>
    <row r="153" customFormat="false" ht="15" hidden="false" customHeight="false" outlineLevel="0" collapsed="false">
      <c r="A153" s="29" t="s">
        <v>1014</v>
      </c>
      <c r="B153" s="60"/>
      <c r="C153" s="66" t="n">
        <f aca="false">SUM(E153:P153)</f>
        <v>205.081978809347</v>
      </c>
      <c r="D153" s="66" t="n">
        <f aca="false">SUM(Q153:AB153)</f>
        <v>13.2806000200973</v>
      </c>
      <c r="E153" s="72" t="n">
        <f aca="false">E28+E71+E114</f>
        <v>45.186</v>
      </c>
      <c r="F153" s="72" t="n">
        <f aca="false">F28+F71+F114</f>
        <v>0.094</v>
      </c>
      <c r="G153" s="72" t="n">
        <f aca="false">G28+G71+G114</f>
        <v>0.07</v>
      </c>
      <c r="H153" s="72" t="n">
        <f aca="false">H28+H71+H114</f>
        <v>20.841</v>
      </c>
      <c r="I153" s="72" t="n">
        <f aca="false">I28+I71+I114</f>
        <v>9.959</v>
      </c>
      <c r="J153" s="72" t="n">
        <f aca="false">J28+J71+J114</f>
        <v>21.25</v>
      </c>
      <c r="K153" s="72" t="n">
        <f aca="false">K28+K71+K114</f>
        <v>0.993</v>
      </c>
      <c r="L153" s="72" t="n">
        <f aca="false">L28+L71+L114</f>
        <v>0.076</v>
      </c>
      <c r="M153" s="72" t="n">
        <f aca="false">M28+M71+M114</f>
        <v>42.9410158324238</v>
      </c>
      <c r="N153" s="72" t="n">
        <f aca="false">N28+N71+N114</f>
        <v>43.8141459057837</v>
      </c>
      <c r="O153" s="72" t="n">
        <f aca="false">O28+O71+O114</f>
        <v>9.82181045608311</v>
      </c>
      <c r="P153" s="72" t="n">
        <f aca="false">P28+P71+P114</f>
        <v>10.0360066150567</v>
      </c>
      <c r="Q153" s="72" t="n">
        <f aca="false">Q28+Q71+Q114</f>
        <v>8.55575309641412</v>
      </c>
      <c r="R153" s="72" t="n">
        <f aca="false">R28+R71+R114</f>
        <v>4.7248469236832</v>
      </c>
      <c r="S153" s="72" t="n">
        <f aca="false">S28+S71+S114</f>
        <v>0</v>
      </c>
      <c r="T153" s="72" t="n">
        <f aca="false">T28+T71+T114</f>
        <v>0</v>
      </c>
      <c r="U153" s="72" t="n">
        <f aca="false">U28+U71+U114</f>
        <v>0</v>
      </c>
      <c r="V153" s="72" t="n">
        <f aca="false">V28+V71+V114</f>
        <v>0</v>
      </c>
      <c r="W153" s="72" t="n">
        <f aca="false">W28+W71+W114</f>
        <v>0</v>
      </c>
      <c r="X153" s="72" t="n">
        <f aca="false">X28+X71+X114</f>
        <v>0</v>
      </c>
      <c r="Y153" s="72" t="n">
        <f aca="false">Y28+Y71+Y114</f>
        <v>0</v>
      </c>
      <c r="Z153" s="72" t="n">
        <f aca="false">Z28+Z71+Z114</f>
        <v>0</v>
      </c>
      <c r="AA153" s="72" t="n">
        <f aca="false">AA28+AA71+AA114</f>
        <v>0</v>
      </c>
      <c r="AB153" s="72" t="n">
        <f aca="false">AB28+AB71+AB114</f>
        <v>0</v>
      </c>
    </row>
    <row r="154" customFormat="false" ht="15" hidden="false" customHeight="false" outlineLevel="0" collapsed="false">
      <c r="A154" s="68" t="s">
        <v>1064</v>
      </c>
      <c r="B154" s="69"/>
      <c r="C154" s="75" t="n">
        <f aca="false">IF(C151=0,0,C152/C151)</f>
        <v>0.711957667134877</v>
      </c>
      <c r="D154" s="75" t="n">
        <f aca="false">IF(D151=0,0,D152/D151)</f>
        <v>0.668709027508588</v>
      </c>
      <c r="E154" s="75" t="n">
        <f aca="false">IF(E151=0,0,E152/E151)</f>
        <v>0.634926470588235</v>
      </c>
      <c r="F154" s="75" t="n">
        <f aca="false">IF(F151=0,0,F152/F151)</f>
        <v>0.652056277056277</v>
      </c>
      <c r="G154" s="75" t="n">
        <f aca="false">IF(G151=0,0,G152/G151)</f>
        <v>0.731951871657754</v>
      </c>
      <c r="H154" s="75" t="n">
        <f aca="false">IF(H151=0,0,H152/H151)</f>
        <v>0.690800865800866</v>
      </c>
      <c r="I154" s="75" t="n">
        <f aca="false">IF(I151=0,0,I152/I151)</f>
        <v>0.827001013171226</v>
      </c>
      <c r="J154" s="75" t="n">
        <f aca="false">IF(J151=0,0,J152/J151)</f>
        <v>0.788279400157853</v>
      </c>
      <c r="K154" s="75" t="n">
        <f aca="false">IF(K151=0,0,K152/K151)</f>
        <v>0.622619047619048</v>
      </c>
      <c r="L154" s="75" t="n">
        <f aca="false">IF(L151=0,0,L152/L151)</f>
        <v>0.631109022556391</v>
      </c>
      <c r="M154" s="75" t="n">
        <f aca="false">IF(M151=0,0,M152/M151)</f>
        <v>0.738990804008752</v>
      </c>
      <c r="N154" s="75" t="n">
        <f aca="false">IF(N151=0,0,N152/N151)</f>
        <v>0.684141385349264</v>
      </c>
      <c r="O154" s="75" t="n">
        <f aca="false">IF(O151=0,0,O152/O151)</f>
        <v>0.761410531811749</v>
      </c>
      <c r="P154" s="75" t="n">
        <f aca="false">IF(P151=0,0,P152/P151)</f>
        <v>0.775940218419022</v>
      </c>
      <c r="Q154" s="75" t="n">
        <f aca="false">IF(Q151=0,0,Q152/Q151)</f>
        <v>0.778518660327255</v>
      </c>
      <c r="R154" s="75" t="n">
        <f aca="false">IF(R151=0,0,R152/R151)</f>
        <v>0.783733090196814</v>
      </c>
      <c r="S154" s="75" t="n">
        <f aca="false">IF(S151=0,0,S152/S151)</f>
        <v>0.734064980992755</v>
      </c>
      <c r="T154" s="75" t="n">
        <f aca="false">IF(T151=0,0,T152/T151)</f>
        <v>0.669776019328114</v>
      </c>
      <c r="U154" s="75" t="n">
        <f aca="false">IF(U151=0,0,U152/U151)</f>
        <v>0.662714598013808</v>
      </c>
      <c r="V154" s="75" t="n">
        <f aca="false">IF(V151=0,0,V152/V151)</f>
        <v>0.653960546254027</v>
      </c>
      <c r="W154" s="75" t="n">
        <f aca="false">IF(W151=0,0,W152/W151)</f>
        <v>0.643936494547585</v>
      </c>
      <c r="X154" s="75" t="n">
        <f aca="false">IF(X151=0,0,X152/X151)</f>
        <v>0.634272919771571</v>
      </c>
      <c r="Y154" s="75" t="n">
        <f aca="false">IF(Y151=0,0,Y152/Y151)</f>
        <v>0.634272543874708</v>
      </c>
      <c r="Z154" s="75" t="n">
        <f aca="false">IF(Z151=0,0,Z152/Z151)</f>
        <v>0.627402440197752</v>
      </c>
      <c r="AA154" s="75" t="n">
        <f aca="false">IF(AA151=0,0,AA152/AA151)</f>
        <v>0.624021233694836</v>
      </c>
      <c r="AB154" s="75" t="n">
        <f aca="false">IF(AB151=0,0,AB152/AB151)</f>
        <v>0.624021236899856</v>
      </c>
    </row>
    <row r="155" customFormat="false" ht="15" hidden="false" customHeight="false" outlineLevel="0" collapsed="false">
      <c r="A155" s="29" t="s">
        <v>1016</v>
      </c>
      <c r="B155" s="60"/>
      <c r="C155" s="66" t="n">
        <f aca="false">SUM(E155:P155)</f>
        <v>15826.5938297461</v>
      </c>
      <c r="D155" s="66" t="n">
        <f aca="false">SUM(Q155:AB155)</f>
        <v>17905.7234856018</v>
      </c>
      <c r="E155" s="72" t="n">
        <f aca="false">E30+E73+E116</f>
        <v>1360</v>
      </c>
      <c r="F155" s="72" t="n">
        <f aca="false">F30+F73+F116</f>
        <v>1320</v>
      </c>
      <c r="G155" s="72" t="n">
        <f aca="false">G30+G73+G116</f>
        <v>1496</v>
      </c>
      <c r="H155" s="72" t="n">
        <f aca="false">H30+H73+H116</f>
        <v>1188</v>
      </c>
      <c r="I155" s="72" t="n">
        <f aca="false">I30+I73+I116</f>
        <v>1015.2</v>
      </c>
      <c r="J155" s="72" t="n">
        <f aca="false">J30+J73+J116</f>
        <v>1303.2</v>
      </c>
      <c r="K155" s="72" t="n">
        <f aca="false">K30+K73+K116</f>
        <v>1404</v>
      </c>
      <c r="L155" s="72" t="n">
        <f aca="false">L30+L73+L116</f>
        <v>1094.4</v>
      </c>
      <c r="M155" s="72" t="n">
        <f aca="false">M30+M73+M116</f>
        <v>1358.01</v>
      </c>
      <c r="N155" s="72" t="n">
        <f aca="false">N30+N73+N116</f>
        <v>1439.087</v>
      </c>
      <c r="O155" s="72" t="n">
        <f aca="false">O30+O73+O116</f>
        <v>1405.651690625</v>
      </c>
      <c r="P155" s="72" t="n">
        <f aca="false">P30+P73+P116</f>
        <v>1443.04513912109</v>
      </c>
      <c r="Q155" s="72" t="n">
        <f aca="false">Q30+Q73+Q116</f>
        <v>1361.47739027344</v>
      </c>
      <c r="R155" s="72" t="n">
        <f aca="false">R30+R73+R116</f>
        <v>1402.60433454799</v>
      </c>
      <c r="S155" s="72" t="n">
        <f aca="false">S30+S73+S116</f>
        <v>1502.8922095579</v>
      </c>
      <c r="T155" s="72" t="n">
        <f aca="false">T30+T73+T116</f>
        <v>1569.02944056591</v>
      </c>
      <c r="U155" s="72" t="n">
        <f aca="false">U30+U73+U116</f>
        <v>1195.90420940856</v>
      </c>
      <c r="V155" s="72" t="n">
        <f aca="false">V30+V73+V116</f>
        <v>1620.02917952669</v>
      </c>
      <c r="W155" s="72" t="n">
        <f aca="false">W30+W73+W116</f>
        <v>1569.15922716791</v>
      </c>
      <c r="X155" s="72" t="n">
        <f aca="false">X30+X73+X116</f>
        <v>1374.07314585585</v>
      </c>
      <c r="Y155" s="72" t="n">
        <f aca="false">Y30+Y73+Y116</f>
        <v>1620.04838424831</v>
      </c>
      <c r="Z155" s="72" t="n">
        <f aca="false">Z30+Z73+Z116</f>
        <v>1475.85537742898</v>
      </c>
      <c r="AA155" s="72" t="n">
        <f aca="false">AA30+AA73+AA116</f>
        <v>1543.71082964066</v>
      </c>
      <c r="AB155" s="72" t="n">
        <f aca="false">AB30+AB73+AB116</f>
        <v>1670.93975737965</v>
      </c>
    </row>
    <row r="156" customFormat="false" ht="15" hidden="false" customHeight="false" outlineLevel="0" collapsed="false">
      <c r="A156" s="29" t="s">
        <v>1020</v>
      </c>
      <c r="B156" s="60"/>
      <c r="C156" s="66" t="n">
        <f aca="false">SUM(E156:P156)</f>
        <v>12676.4479400662</v>
      </c>
      <c r="D156" s="66" t="n">
        <f aca="false">SUM(Q156:AB156)</f>
        <v>13115.6493342825</v>
      </c>
      <c r="E156" s="72" t="n">
        <f aca="false">E34+E77+E120</f>
        <v>907</v>
      </c>
      <c r="F156" s="72" t="n">
        <f aca="false">F34+F77+F120</f>
        <v>976.3</v>
      </c>
      <c r="G156" s="72" t="n">
        <f aca="false">G34+G77+G120</f>
        <v>1255.4</v>
      </c>
      <c r="H156" s="72" t="n">
        <f aca="false">H34+H77+H120</f>
        <v>997.4</v>
      </c>
      <c r="I156" s="72" t="n">
        <f aca="false">I34+I77+I120</f>
        <v>903.3</v>
      </c>
      <c r="J156" s="72" t="n">
        <f aca="false">J34+J77+J120</f>
        <v>1122.4</v>
      </c>
      <c r="K156" s="72" t="n">
        <f aca="false">K34+K77+K120</f>
        <v>981.1</v>
      </c>
      <c r="L156" s="72" t="n">
        <f aca="false">L34+L77+L120</f>
        <v>796</v>
      </c>
      <c r="M156" s="72" t="n">
        <f aca="false">M34+M77+M120</f>
        <v>1188.06960803739</v>
      </c>
      <c r="N156" s="72" t="n">
        <f aca="false">N34+N77+N120</f>
        <v>1162.80673180671</v>
      </c>
      <c r="O156" s="72" t="n">
        <f aca="false">O34+O77+O120</f>
        <v>1160.66860967502</v>
      </c>
      <c r="P156" s="72" t="n">
        <f aca="false">P34+P77+P120</f>
        <v>1226.0029905471</v>
      </c>
      <c r="Q156" s="72" t="n">
        <f aca="false">Q34+Q77+Q120</f>
        <v>1116.2161055461</v>
      </c>
      <c r="R156" s="72" t="n">
        <f aca="false">R34+R77+R120</f>
        <v>1163.83081274123</v>
      </c>
      <c r="S156" s="72" t="n">
        <f aca="false">S34+S77+S120</f>
        <v>1204.19170101415</v>
      </c>
      <c r="T156" s="72" t="n">
        <f aca="false">T34+T77+T120</f>
        <v>1169.51069736652</v>
      </c>
      <c r="U156" s="72" t="n">
        <f aca="false">U34+U77+U120</f>
        <v>879.68616782658</v>
      </c>
      <c r="V156" s="72" t="n">
        <f aca="false">V34+V77+V120</f>
        <v>1172.7384395468</v>
      </c>
      <c r="W156" s="72" t="n">
        <f aca="false">W34+W77+W120</f>
        <v>1114.20927007915</v>
      </c>
      <c r="X156" s="72" t="n">
        <f aca="false">X34+X77+X120</f>
        <v>957.430177409268</v>
      </c>
      <c r="Y156" s="72" t="n">
        <f aca="false">Y34+Y77+Y120</f>
        <v>1128.82146230155</v>
      </c>
      <c r="Z156" s="72" t="n">
        <f aca="false">Z34+Z77+Z120</f>
        <v>1014.41018302748</v>
      </c>
      <c r="AA156" s="72" t="n">
        <f aca="false">AA34+AA77+AA120</f>
        <v>1053.8733092194</v>
      </c>
      <c r="AB156" s="72" t="n">
        <f aca="false">AB34+AB77+AB120</f>
        <v>1140.73100820423</v>
      </c>
    </row>
    <row r="157" customFormat="false" ht="15" hidden="false" customHeight="false" outlineLevel="0" collapsed="false">
      <c r="A157" s="29" t="s">
        <v>1021</v>
      </c>
      <c r="B157" s="60"/>
      <c r="C157" s="66" t="n">
        <f aca="false">SUM(E157:P157)</f>
        <v>1225.40033264159</v>
      </c>
      <c r="D157" s="66" t="n">
        <f aca="false">SUM(Q157:AB157)</f>
        <v>28.4381241124492</v>
      </c>
      <c r="E157" s="72" t="n">
        <f aca="false">E35+E78+E121</f>
        <v>0.256</v>
      </c>
      <c r="F157" s="72" t="n">
        <f aca="false">F35+F78+F121</f>
        <v>10.224</v>
      </c>
      <c r="G157" s="72" t="n">
        <f aca="false">G35+G78+G121</f>
        <v>5.207</v>
      </c>
      <c r="H157" s="72" t="n">
        <f aca="false">H35+H78+H121</f>
        <v>90.35</v>
      </c>
      <c r="I157" s="72" t="n">
        <f aca="false">I35+I78+I121</f>
        <v>197.698</v>
      </c>
      <c r="J157" s="72" t="n">
        <f aca="false">J35+J78+J121</f>
        <v>247.121</v>
      </c>
      <c r="K157" s="72" t="n">
        <f aca="false">K35+K78+K121</f>
        <v>163.852</v>
      </c>
      <c r="L157" s="72" t="n">
        <f aca="false">L35+L78+L121</f>
        <v>108.478</v>
      </c>
      <c r="M157" s="72" t="n">
        <f aca="false">M35+M78+M121</f>
        <v>227.195320692777</v>
      </c>
      <c r="N157" s="72" t="n">
        <f aca="false">N35+N78+N121</f>
        <v>90.0791707197432</v>
      </c>
      <c r="O157" s="72" t="n">
        <f aca="false">O35+O78+O121</f>
        <v>28.5489427738764</v>
      </c>
      <c r="P157" s="72" t="n">
        <f aca="false">P35+P78+P121</f>
        <v>56.3908984551977</v>
      </c>
      <c r="Q157" s="72" t="n">
        <f aca="false">Q35+Q78+Q121</f>
        <v>27.7482186146544</v>
      </c>
      <c r="R157" s="72" t="n">
        <f aca="false">R35+R78+R121</f>
        <v>0.349954865183463</v>
      </c>
      <c r="S157" s="72" t="n">
        <f aca="false">S35+S78+S121</f>
        <v>0.339950632611362</v>
      </c>
      <c r="T157" s="72" t="n">
        <f aca="false">T35+T78+T121</f>
        <v>0</v>
      </c>
      <c r="U157" s="72" t="n">
        <f aca="false">U35+U78+U121</f>
        <v>0</v>
      </c>
      <c r="V157" s="72" t="n">
        <f aca="false">V35+V78+V121</f>
        <v>0</v>
      </c>
      <c r="W157" s="72" t="n">
        <f aca="false">W35+W78+W121</f>
        <v>0</v>
      </c>
      <c r="X157" s="72" t="n">
        <f aca="false">X35+X78+X121</f>
        <v>0</v>
      </c>
      <c r="Y157" s="72" t="n">
        <f aca="false">Y35+Y78+Y121</f>
        <v>0</v>
      </c>
      <c r="Z157" s="72" t="n">
        <f aca="false">Z35+Z78+Z121</f>
        <v>0</v>
      </c>
      <c r="AA157" s="72" t="n">
        <f aca="false">AA35+AA78+AA121</f>
        <v>0</v>
      </c>
      <c r="AB157" s="72" t="n">
        <f aca="false">AB35+AB78+AB121</f>
        <v>0</v>
      </c>
    </row>
    <row r="158" customFormat="false" ht="15" hidden="false" customHeight="false" outlineLevel="0" collapsed="false">
      <c r="A158" s="68" t="s">
        <v>1065</v>
      </c>
      <c r="B158" s="69"/>
      <c r="C158" s="75" t="n">
        <f aca="false">IF(C155=0,0,C156/C155)</f>
        <v>0.800958694993539</v>
      </c>
      <c r="D158" s="75" t="n">
        <f aca="false">IF(D155=0,0,D156/D155)</f>
        <v>0.732483629875602</v>
      </c>
      <c r="E158" s="75" t="n">
        <f aca="false">IF(E155=0,0,E156/E155)</f>
        <v>0.666911764705882</v>
      </c>
      <c r="F158" s="75" t="n">
        <f aca="false">IF(F155=0,0,F156/F155)</f>
        <v>0.739621212121212</v>
      </c>
      <c r="G158" s="75" t="n">
        <f aca="false">IF(G155=0,0,G156/G155)</f>
        <v>0.839171122994653</v>
      </c>
      <c r="H158" s="75" t="n">
        <f aca="false">IF(H155=0,0,H156/H155)</f>
        <v>0.83956228956229</v>
      </c>
      <c r="I158" s="75" t="n">
        <f aca="false">IF(I155=0,0,I156/I155)</f>
        <v>0.889775413711584</v>
      </c>
      <c r="J158" s="75" t="n">
        <f aca="false">IF(J155=0,0,J156/J155)</f>
        <v>0.861264579496624</v>
      </c>
      <c r="K158" s="75" t="n">
        <f aca="false">IF(K155=0,0,K156/K155)</f>
        <v>0.698789173789174</v>
      </c>
      <c r="L158" s="75" t="n">
        <f aca="false">IF(L155=0,0,L156/L155)</f>
        <v>0.72733918128655</v>
      </c>
      <c r="M158" s="75" t="n">
        <f aca="false">IF(M155=0,0,M156/M155)</f>
        <v>0.87486072122988</v>
      </c>
      <c r="N158" s="75" t="n">
        <f aca="false">IF(N155=0,0,N156/N155)</f>
        <v>0.808016980076057</v>
      </c>
      <c r="O158" s="75" t="n">
        <f aca="false">IF(O155=0,0,O156/O155)</f>
        <v>0.825715657311202</v>
      </c>
      <c r="P158" s="75" t="n">
        <f aca="false">IF(P155=0,0,P156/P155)</f>
        <v>0.849594345533649</v>
      </c>
      <c r="Q158" s="75" t="n">
        <f aca="false">IF(Q155=0,0,Q156/Q155)</f>
        <v>0.8198565128738</v>
      </c>
      <c r="R158" s="75" t="n">
        <f aca="false">IF(R155=0,0,R156/R155)</f>
        <v>0.829764163759194</v>
      </c>
      <c r="S158" s="75" t="n">
        <f aca="false">IF(S155=0,0,S156/S155)</f>
        <v>0.801249546278762</v>
      </c>
      <c r="T158" s="75" t="n">
        <f aca="false">IF(T155=0,0,T156/T155)</f>
        <v>0.745372054296636</v>
      </c>
      <c r="U158" s="75" t="n">
        <f aca="false">IF(U155=0,0,U156/U155)</f>
        <v>0.73558246630943</v>
      </c>
      <c r="V158" s="75" t="n">
        <f aca="false">IF(V155=0,0,V156/V155)</f>
        <v>0.723899578086262</v>
      </c>
      <c r="W158" s="75" t="n">
        <f aca="false">IF(W155=0,0,W156/W155)</f>
        <v>0.710067691530658</v>
      </c>
      <c r="X158" s="75" t="n">
        <f aca="false">IF(X155=0,0,X156/X155)</f>
        <v>0.696782540505096</v>
      </c>
      <c r="Y158" s="75" t="n">
        <f aca="false">IF(Y155=0,0,Y156/Y155)</f>
        <v>0.696782561111791</v>
      </c>
      <c r="Z158" s="75" t="n">
        <f aca="false">IF(Z155=0,0,Z156/Z155)</f>
        <v>0.687337118894831</v>
      </c>
      <c r="AA158" s="75" t="n">
        <f aca="false">IF(AA155=0,0,AA156/AA155)</f>
        <v>0.682688291734479</v>
      </c>
      <c r="AB158" s="75" t="n">
        <f aca="false">IF(AB155=0,0,AB156/AB155)</f>
        <v>0.682688291523518</v>
      </c>
    </row>
    <row r="159" customFormat="false" ht="15" hidden="false" customHeight="false" outlineLevel="0" collapsed="false">
      <c r="A159" s="29" t="s">
        <v>1023</v>
      </c>
      <c r="B159" s="60"/>
      <c r="C159" s="66" t="n">
        <f aca="false">SUM(E159:P159)</f>
        <v>16986.5056708984</v>
      </c>
      <c r="D159" s="66" t="n">
        <f aca="false">SUM(Q159:AB159)</f>
        <v>20691.6080640218</v>
      </c>
      <c r="E159" s="72" t="n">
        <f aca="false">E37+E80+E123</f>
        <v>1088</v>
      </c>
      <c r="F159" s="72" t="n">
        <f aca="false">F37+F80+F123</f>
        <v>1056</v>
      </c>
      <c r="G159" s="72" t="n">
        <f aca="false">G37+G80+G123</f>
        <v>1346.4</v>
      </c>
      <c r="H159" s="72" t="n">
        <f aca="false">H37+H80+H123</f>
        <v>1188</v>
      </c>
      <c r="I159" s="72" t="n">
        <f aca="false">I37+I80+I123</f>
        <v>1128</v>
      </c>
      <c r="J159" s="72" t="n">
        <f aca="false">J37+J80+J123</f>
        <v>1448</v>
      </c>
      <c r="K159" s="72" t="n">
        <f aca="false">K37+K80+K123</f>
        <v>1560</v>
      </c>
      <c r="L159" s="72" t="n">
        <f aca="false">L37+L80+L123</f>
        <v>1216</v>
      </c>
      <c r="M159" s="72" t="n">
        <f aca="false">M37+M80+M123</f>
        <v>1814.5</v>
      </c>
      <c r="N159" s="72" t="n">
        <f aca="false">N37+N80+N123</f>
        <v>1726.15</v>
      </c>
      <c r="O159" s="72" t="n">
        <f aca="false">O37+O80+O123</f>
        <v>1686.04515625</v>
      </c>
      <c r="P159" s="72" t="n">
        <f aca="false">P37+P80+P123</f>
        <v>1729.41051464844</v>
      </c>
      <c r="Q159" s="72" t="n">
        <f aca="false">Q37+Q80+Q123</f>
        <v>1480.21316210938</v>
      </c>
      <c r="R159" s="72" t="n">
        <f aca="false">R37+R80+R123</f>
        <v>1526.73777875748</v>
      </c>
      <c r="S159" s="72" t="n">
        <f aca="false">S37+S80+S123</f>
        <v>1637.79765333619</v>
      </c>
      <c r="T159" s="72" t="n">
        <f aca="false">T37+T80+T123</f>
        <v>1711.81105277283</v>
      </c>
      <c r="U159" s="72" t="n">
        <f aca="false">U37+U80+U123</f>
        <v>1304.67461614336</v>
      </c>
      <c r="V159" s="72" t="n">
        <f aca="false">V37+V80+V123</f>
        <v>1767.3250573891</v>
      </c>
      <c r="W159" s="72" t="n">
        <f aca="false">W37+W80+W123</f>
        <v>1711.80718542495</v>
      </c>
      <c r="X159" s="72" t="n">
        <f aca="false">X37+X80+X123</f>
        <v>1498.98795605525</v>
      </c>
      <c r="Y159" s="72" t="n">
        <f aca="false">Y37+Y80+Y123</f>
        <v>2072.92530475118</v>
      </c>
      <c r="Z159" s="72" t="n">
        <f aca="false">Z37+Z80+Z123</f>
        <v>1884.94409679943</v>
      </c>
      <c r="AA159" s="72" t="n">
        <f aca="false">AA37+AA80+AA123</f>
        <v>1968.01369266378</v>
      </c>
      <c r="AB159" s="72" t="n">
        <f aca="false">AB37+AB80+AB123</f>
        <v>2126.37050781885</v>
      </c>
    </row>
    <row r="160" customFormat="false" ht="15" hidden="false" customHeight="false" outlineLevel="0" collapsed="false">
      <c r="A160" s="29" t="s">
        <v>1027</v>
      </c>
      <c r="B160" s="60"/>
      <c r="C160" s="66" t="n">
        <f aca="false">SUM(E160:P160)</f>
        <v>13160.9229538939</v>
      </c>
      <c r="D160" s="66" t="n">
        <f aca="false">SUM(Q160:AB160)</f>
        <v>14768.6291050653</v>
      </c>
      <c r="E160" s="72" t="n">
        <f aca="false">E41+E84+E127</f>
        <v>777.6</v>
      </c>
      <c r="F160" s="72" t="n">
        <f aca="false">F41+F84+F127</f>
        <v>806.5</v>
      </c>
      <c r="G160" s="72" t="n">
        <f aca="false">G41+G84+G127</f>
        <v>1141.2</v>
      </c>
      <c r="H160" s="72" t="n">
        <f aca="false">H41+H84+H127</f>
        <v>988.2</v>
      </c>
      <c r="I160" s="72" t="n">
        <f aca="false">I41+I84+I127</f>
        <v>906.9</v>
      </c>
      <c r="J160" s="72" t="n">
        <f aca="false">J41+J84+J127</f>
        <v>1141.4</v>
      </c>
      <c r="K160" s="72" t="n">
        <f aca="false">K41+K84+K127</f>
        <v>1129.5</v>
      </c>
      <c r="L160" s="72" t="n">
        <f aca="false">L41+L84+L127</f>
        <v>902.9</v>
      </c>
      <c r="M160" s="72" t="n">
        <f aca="false">M41+M84+M127</f>
        <v>1396.00494404257</v>
      </c>
      <c r="N160" s="72" t="n">
        <f aca="false">N41+N84+N127</f>
        <v>1267.75274107094</v>
      </c>
      <c r="O160" s="72" t="n">
        <f aca="false">O41+O84+O127</f>
        <v>1322.04377106659</v>
      </c>
      <c r="P160" s="72" t="n">
        <f aca="false">P41+P84+P127</f>
        <v>1380.92149771383</v>
      </c>
      <c r="Q160" s="72" t="n">
        <f aca="false">Q41+Q84+Q127</f>
        <v>1180.25162568012</v>
      </c>
      <c r="R160" s="72" t="n">
        <f aca="false">R41+R84+R127</f>
        <v>1211.14342320342</v>
      </c>
      <c r="S160" s="72" t="n">
        <f aca="false">S41+S84+S127</f>
        <v>1263.67392768254</v>
      </c>
      <c r="T160" s="72" t="n">
        <f aca="false">T41+T84+T127</f>
        <v>1261.03346365616</v>
      </c>
      <c r="U160" s="72" t="n">
        <f aca="false">U41+U84+U127</f>
        <v>947.633843335339</v>
      </c>
      <c r="V160" s="72" t="n">
        <f aca="false">V41+V84+V127</f>
        <v>1262.18561099611</v>
      </c>
      <c r="W160" s="72" t="n">
        <f aca="false">W41+W84+W127</f>
        <v>1197.54458806684</v>
      </c>
      <c r="X160" s="72" t="n">
        <f aca="false">X41+X84+X127</f>
        <v>1027.63996223469</v>
      </c>
      <c r="Y160" s="72" t="n">
        <f aca="false">Y41+Y84+Y127</f>
        <v>1412.07380142866</v>
      </c>
      <c r="Z160" s="72" t="n">
        <f aca="false">Z41+Z84+Z127</f>
        <v>1268.05670386187</v>
      </c>
      <c r="AA160" s="72" t="n">
        <f aca="false">AA41+AA84+AA127</f>
        <v>1315.73638537251</v>
      </c>
      <c r="AB160" s="72" t="n">
        <f aca="false">AB41+AB84+AB127</f>
        <v>1421.65576954707</v>
      </c>
    </row>
    <row r="161" customFormat="false" ht="15" hidden="false" customHeight="false" outlineLevel="0" collapsed="false">
      <c r="A161" s="29" t="s">
        <v>1028</v>
      </c>
      <c r="B161" s="60"/>
      <c r="C161" s="66" t="n">
        <f aca="false">SUM(E161:P161)</f>
        <v>544.477509290233</v>
      </c>
      <c r="D161" s="66" t="n">
        <f aca="false">SUM(Q161:AB161)</f>
        <v>254.017362049273</v>
      </c>
      <c r="E161" s="72" t="n">
        <f aca="false">E42+E85+E128</f>
        <v>0.24</v>
      </c>
      <c r="F161" s="72" t="n">
        <f aca="false">F42+F85+F128</f>
        <v>79.252</v>
      </c>
      <c r="G161" s="72" t="n">
        <f aca="false">G42+G85+G128</f>
        <v>20.81</v>
      </c>
      <c r="H161" s="72" t="n">
        <f aca="false">H42+H85+H128</f>
        <v>21.604</v>
      </c>
      <c r="I161" s="72" t="n">
        <f aca="false">I42+I85+I128</f>
        <v>126.264</v>
      </c>
      <c r="J161" s="72" t="n">
        <f aca="false">J42+J85+J128</f>
        <v>157.406</v>
      </c>
      <c r="K161" s="72" t="n">
        <f aca="false">K42+K85+K128</f>
        <v>0.14</v>
      </c>
      <c r="L161" s="72" t="n">
        <f aca="false">L42+L85+L128</f>
        <v>0.144</v>
      </c>
      <c r="M161" s="72" t="n">
        <f aca="false">M42+M85+M128</f>
        <v>52.7929470882445</v>
      </c>
      <c r="N161" s="72" t="n">
        <f aca="false">N42+N85+N128</f>
        <v>0</v>
      </c>
      <c r="O161" s="72" t="n">
        <f aca="false">O42+O85+O128</f>
        <v>0</v>
      </c>
      <c r="P161" s="72" t="n">
        <f aca="false">P42+P85+P128</f>
        <v>85.8245622019885</v>
      </c>
      <c r="Q161" s="72" t="n">
        <f aca="false">Q42+Q85+Q128</f>
        <v>106.219866525302</v>
      </c>
      <c r="R161" s="72" t="n">
        <f aca="false">R42+R85+R128</f>
        <v>147.797495523971</v>
      </c>
      <c r="S161" s="72" t="n">
        <f aca="false">S42+S85+S128</f>
        <v>0</v>
      </c>
      <c r="T161" s="72" t="n">
        <f aca="false">T42+T85+T128</f>
        <v>0</v>
      </c>
      <c r="U161" s="72" t="n">
        <f aca="false">U42+U85+U128</f>
        <v>0</v>
      </c>
      <c r="V161" s="72" t="n">
        <f aca="false">V42+V85+V128</f>
        <v>0</v>
      </c>
      <c r="W161" s="72" t="n">
        <f aca="false">W42+W85+W128</f>
        <v>0</v>
      </c>
      <c r="X161" s="72" t="n">
        <f aca="false">X42+X85+X128</f>
        <v>0</v>
      </c>
      <c r="Y161" s="72" t="n">
        <f aca="false">Y42+Y85+Y128</f>
        <v>0</v>
      </c>
      <c r="Z161" s="72" t="n">
        <f aca="false">Z42+Z85+Z128</f>
        <v>0</v>
      </c>
      <c r="AA161" s="72" t="n">
        <f aca="false">AA42+AA85+AA128</f>
        <v>0</v>
      </c>
      <c r="AB161" s="72" t="n">
        <f aca="false">AB42+AB85+AB128</f>
        <v>0</v>
      </c>
    </row>
    <row r="162" customFormat="false" ht="15" hidden="false" customHeight="false" outlineLevel="0" collapsed="false">
      <c r="A162" s="68" t="s">
        <v>1066</v>
      </c>
      <c r="B162" s="69"/>
      <c r="C162" s="75" t="n">
        <f aca="false">IF(C159=0,0,C160/C159)</f>
        <v>0.77478695200046</v>
      </c>
      <c r="D162" s="75" t="n">
        <f aca="false">IF(D159=0,0,D160/D159)</f>
        <v>0.713749702747597</v>
      </c>
      <c r="E162" s="75" t="n">
        <f aca="false">IF(E159=0,0,E160/E159)</f>
        <v>0.714705882352941</v>
      </c>
      <c r="F162" s="75" t="n">
        <f aca="false">IF(F159=0,0,F160/F159)</f>
        <v>0.763731060606061</v>
      </c>
      <c r="G162" s="75" t="n">
        <f aca="false">IF(G159=0,0,G160/G159)</f>
        <v>0.847593582887701</v>
      </c>
      <c r="H162" s="75" t="n">
        <f aca="false">IF(H159=0,0,H160/H159)</f>
        <v>0.831818181818182</v>
      </c>
      <c r="I162" s="75" t="n">
        <f aca="false">IF(I159=0,0,I160/I159)</f>
        <v>0.803989361702128</v>
      </c>
      <c r="J162" s="75" t="n">
        <f aca="false">IF(J159=0,0,J160/J159)</f>
        <v>0.788259668508287</v>
      </c>
      <c r="K162" s="75" t="n">
        <f aca="false">IF(K159=0,0,K160/K159)</f>
        <v>0.724038461538462</v>
      </c>
      <c r="L162" s="75" t="n">
        <f aca="false">IF(L159=0,0,L160/L159)</f>
        <v>0.742516447368421</v>
      </c>
      <c r="M162" s="75" t="n">
        <f aca="false">IF(M159=0,0,M160/M159)</f>
        <v>0.769360674589457</v>
      </c>
      <c r="N162" s="75" t="n">
        <f aca="false">IF(N159=0,0,N160/N159)</f>
        <v>0.7344394989259</v>
      </c>
      <c r="O162" s="75" t="n">
        <f aca="false">IF(O159=0,0,O160/O159)</f>
        <v>0.784109349720502</v>
      </c>
      <c r="P162" s="75" t="n">
        <f aca="false">IF(P159=0,0,P160/P159)</f>
        <v>0.798492599655873</v>
      </c>
      <c r="Q162" s="75" t="n">
        <f aca="false">IF(Q159=0,0,Q160/Q159)</f>
        <v>0.797352473206089</v>
      </c>
      <c r="R162" s="75" t="n">
        <f aca="false">IF(R159=0,0,R160/R159)</f>
        <v>0.793288435024576</v>
      </c>
      <c r="S162" s="75" t="n">
        <f aca="false">IF(S159=0,0,S160/S159)</f>
        <v>0.771569018375647</v>
      </c>
      <c r="T162" s="75" t="n">
        <f aca="false">IF(T159=0,0,T160/T159)</f>
        <v>0.736666270271776</v>
      </c>
      <c r="U162" s="75" t="n">
        <f aca="false">IF(U159=0,0,U160/U159)</f>
        <v>0.726337304037203</v>
      </c>
      <c r="V162" s="75" t="n">
        <f aca="false">IF(V159=0,0,V160/V159)</f>
        <v>0.714178529704522</v>
      </c>
      <c r="W162" s="75" t="n">
        <f aca="false">IF(W159=0,0,W160/W159)</f>
        <v>0.699579133831914</v>
      </c>
      <c r="X162" s="75" t="n">
        <f aca="false">IF(X159=0,0,X160/X159)</f>
        <v>0.685555849920924</v>
      </c>
      <c r="Y162" s="75" t="n">
        <f aca="false">IF(Y159=0,0,Y160/Y159)</f>
        <v>0.681198593211327</v>
      </c>
      <c r="Z162" s="75" t="n">
        <f aca="false">IF(Z159=0,0,Z160/Z159)</f>
        <v>0.672729077756194</v>
      </c>
      <c r="AA162" s="75" t="n">
        <f aca="false">IF(AA159=0,0,AA160/AA159)</f>
        <v>0.668560584856306</v>
      </c>
      <c r="AB162" s="75" t="n">
        <f aca="false">IF(AB159=0,0,AB160/AB159)</f>
        <v>0.668583280439379</v>
      </c>
    </row>
    <row r="163" customFormat="false" ht="15" hidden="false" customHeight="false" outlineLevel="0" collapsed="false">
      <c r="A163" s="23" t="s">
        <v>691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row>
    <row r="164" customFormat="false" ht="15" hidden="false" customHeight="false" outlineLevel="0" collapsed="false">
      <c r="A164" s="29" t="s">
        <v>1067</v>
      </c>
      <c r="B164" s="60"/>
      <c r="C164" s="66" t="n">
        <f aca="false">SUM(E164:P164)</f>
        <v>55263.487052705</v>
      </c>
      <c r="D164" s="66" t="n">
        <f aca="false">SUM(Q164:AB164)</f>
        <v>62681.1113703674</v>
      </c>
      <c r="E164" s="72" t="n">
        <f aca="false">E44+E87+E130</f>
        <v>4148</v>
      </c>
      <c r="F164" s="72" t="n">
        <f aca="false">F44+F87+F130</f>
        <v>4158</v>
      </c>
      <c r="G164" s="72" t="n">
        <f aca="false">G44+G87+G130</f>
        <v>4862</v>
      </c>
      <c r="H164" s="72" t="n">
        <f aca="false">H44+H87+H130</f>
        <v>4158</v>
      </c>
      <c r="I164" s="72" t="n">
        <f aca="false">I44+I87+I130</f>
        <v>3666</v>
      </c>
      <c r="J164" s="72" t="n">
        <f aca="false">J44+J87+J130</f>
        <v>4706</v>
      </c>
      <c r="K164" s="72" t="n">
        <f aca="false">K44+K87+K130</f>
        <v>5070</v>
      </c>
      <c r="L164" s="72" t="n">
        <f aca="false">L44+L87+L130</f>
        <v>3952</v>
      </c>
      <c r="M164" s="72" t="n">
        <f aca="false">M44+M87+M130</f>
        <v>5224.48666666667</v>
      </c>
      <c r="N164" s="72" t="n">
        <f aca="false">N44+N87+N130</f>
        <v>5131.66288888889</v>
      </c>
      <c r="O164" s="72" t="n">
        <f aca="false">O44+O87+O130</f>
        <v>5026.5913087963</v>
      </c>
      <c r="P164" s="72" t="n">
        <f aca="false">P44+P87+P130</f>
        <v>5160.74618835311</v>
      </c>
      <c r="Q164" s="72" t="n">
        <f aca="false">Q44+Q87+Q130</f>
        <v>4607.03622267811</v>
      </c>
      <c r="R164" s="72" t="n">
        <f aca="false">R44+R87+R130</f>
        <v>4749.37197945369</v>
      </c>
      <c r="S164" s="72" t="n">
        <f aca="false">S44+S87+S130</f>
        <v>5092.49690604103</v>
      </c>
      <c r="T164" s="72" t="n">
        <f aca="false">T44+T87+T130</f>
        <v>5416.45657350525</v>
      </c>
      <c r="U164" s="72" t="n">
        <f aca="false">U44+U87+U130</f>
        <v>4127.66482681566</v>
      </c>
      <c r="V164" s="72" t="n">
        <f aca="false">V44+V87+V130</f>
        <v>5590.61071832516</v>
      </c>
      <c r="W164" s="72" t="n">
        <f aca="false">W44+W87+W130</f>
        <v>5414.22714862505</v>
      </c>
      <c r="X164" s="72" t="n">
        <f aca="false">X44+X87+X130</f>
        <v>4741.12282587204</v>
      </c>
      <c r="Y164" s="72" t="n">
        <f aca="false">Y44+Y87+Y130</f>
        <v>5895.45484919598</v>
      </c>
      <c r="Z164" s="72" t="n">
        <f aca="false">Z44+Z87+Z130</f>
        <v>5367.25416580126</v>
      </c>
      <c r="AA164" s="72" t="n">
        <f aca="false">AA44+AA87+AA130</f>
        <v>5610.42968626737</v>
      </c>
      <c r="AB164" s="72" t="n">
        <f aca="false">AB44+AB87+AB130</f>
        <v>6068.98546778678</v>
      </c>
    </row>
    <row r="165" customFormat="false" ht="15" hidden="false" customHeight="false" outlineLevel="0" collapsed="false">
      <c r="A165" s="29" t="s">
        <v>1068</v>
      </c>
      <c r="B165" s="60"/>
      <c r="C165" s="66" t="n">
        <f aca="false">SUM(E165:P165)</f>
        <v>1124.69641978259</v>
      </c>
      <c r="D165" s="66" t="n">
        <f aca="false">SUM(Q165:AB165)</f>
        <v>23421.0078034514</v>
      </c>
      <c r="E165" s="72" t="n">
        <f aca="false">E45+E88+E131</f>
        <v>0</v>
      </c>
      <c r="F165" s="72" t="n">
        <f aca="false">F45+F88+F131</f>
        <v>0</v>
      </c>
      <c r="G165" s="72" t="n">
        <f aca="false">G45+G88+G131</f>
        <v>0</v>
      </c>
      <c r="H165" s="72" t="n">
        <f aca="false">H45+H88+H131</f>
        <v>0</v>
      </c>
      <c r="I165" s="72" t="n">
        <f aca="false">I45+I88+I131</f>
        <v>0</v>
      </c>
      <c r="J165" s="72" t="n">
        <f aca="false">J45+J88+J131</f>
        <v>0</v>
      </c>
      <c r="K165" s="72" t="n">
        <f aca="false">K45+K88+K131</f>
        <v>0</v>
      </c>
      <c r="L165" s="72" t="n">
        <f aca="false">L45+L88+L131</f>
        <v>0</v>
      </c>
      <c r="M165" s="72" t="n">
        <f aca="false">M45+M88+M131</f>
        <v>0</v>
      </c>
      <c r="N165" s="72" t="n">
        <f aca="false">N45+N88+N131</f>
        <v>0</v>
      </c>
      <c r="O165" s="72" t="n">
        <f aca="false">O45+O88+O131</f>
        <v>551.153218841797</v>
      </c>
      <c r="P165" s="72" t="n">
        <f aca="false">P45+P88+P131</f>
        <v>573.543200940788</v>
      </c>
      <c r="Q165" s="72" t="n">
        <f aca="false">Q45+Q88+Q131</f>
        <v>579.895444190761</v>
      </c>
      <c r="R165" s="72" t="n">
        <f aca="false">R45+R88+R131</f>
        <v>613.575815719259</v>
      </c>
      <c r="S165" s="72" t="n">
        <f aca="false">S45+S88+S131</f>
        <v>874.758814530253</v>
      </c>
      <c r="T165" s="72" t="n">
        <f aca="false">T45+T88+T131</f>
        <v>1620.87194247532</v>
      </c>
      <c r="U165" s="72" t="n">
        <f aca="false">U45+U88+U131</f>
        <v>1376.89235168136</v>
      </c>
      <c r="V165" s="72" t="n">
        <f aca="false">V45+V88+V131</f>
        <v>2098.3739605905</v>
      </c>
      <c r="W165" s="72" t="n">
        <f aca="false">W45+W88+W131</f>
        <v>2295.06699937052</v>
      </c>
      <c r="X165" s="72" t="n">
        <f aca="false">X45+X88+X131</f>
        <v>2231.01461523638</v>
      </c>
      <c r="Y165" s="72" t="n">
        <f aca="false">Y45+Y88+Y131</f>
        <v>2830.87483189991</v>
      </c>
      <c r="Z165" s="72" t="n">
        <f aca="false">Z45+Z88+Z131</f>
        <v>2745.60375505198</v>
      </c>
      <c r="AA165" s="72" t="n">
        <f aca="false">AA45+AA88+AA131</f>
        <v>2956.46744636934</v>
      </c>
      <c r="AB165" s="72" t="n">
        <f aca="false">AB45+AB88+AB131</f>
        <v>3197.61182633579</v>
      </c>
    </row>
    <row r="166" customFormat="false" ht="15" hidden="false" customHeight="false" outlineLevel="0" collapsed="false">
      <c r="A166" s="29" t="s">
        <v>1069</v>
      </c>
      <c r="B166" s="60"/>
      <c r="C166" s="66" t="n">
        <f aca="false">SUM(E166:P166)</f>
        <v>40640.9367773469</v>
      </c>
      <c r="D166" s="66" t="n">
        <f aca="false">SUM(Q166:AB166)</f>
        <v>41687.1974458871</v>
      </c>
      <c r="E166" s="72" t="n">
        <f aca="false">E46+E89+E132</f>
        <v>2518.7</v>
      </c>
      <c r="F166" s="72" t="n">
        <f aca="false">F46+F89+F132</f>
        <v>2774.8</v>
      </c>
      <c r="G166" s="72" t="n">
        <f aca="false">G46+G89+G132</f>
        <v>3591.3</v>
      </c>
      <c r="H166" s="72" t="n">
        <f aca="false">H46+H89+H132</f>
        <v>3102.8</v>
      </c>
      <c r="I166" s="72" t="n">
        <f aca="false">I46+I89+I132</f>
        <v>3143.9</v>
      </c>
      <c r="J166" s="72" t="n">
        <f aca="false">J46+J89+J132</f>
        <v>3918.4</v>
      </c>
      <c r="K166" s="72" t="n">
        <f aca="false">K46+K89+K132</f>
        <v>3342.7</v>
      </c>
      <c r="L166" s="72" t="n">
        <f aca="false">L46+L89+L132</f>
        <v>2659.5</v>
      </c>
      <c r="M166" s="72" t="n">
        <f aca="false">M46+M89+M132</f>
        <v>4170.75702260542</v>
      </c>
      <c r="N166" s="72" t="n">
        <f aca="false">N46+N89+N132</f>
        <v>3685.49665707846</v>
      </c>
      <c r="O166" s="72" t="n">
        <f aca="false">O46+O89+O132</f>
        <v>3720.41305085979</v>
      </c>
      <c r="P166" s="72" t="n">
        <f aca="false">P46+P89+P132</f>
        <v>4012.17004680323</v>
      </c>
      <c r="Q166" s="72" t="n">
        <f aca="false">Q46+Q89+Q132</f>
        <v>3567.13238812627</v>
      </c>
      <c r="R166" s="72" t="n">
        <f aca="false">R46+R89+R132</f>
        <v>3704.08566249423</v>
      </c>
      <c r="S166" s="72" t="n">
        <f aca="false">S46+S89+S132</f>
        <v>3649.5998366153</v>
      </c>
      <c r="T166" s="72" t="n">
        <f aca="false">T46+T89+T132</f>
        <v>3639.7054970548</v>
      </c>
      <c r="U166" s="72" t="n">
        <f aca="false">U46+U89+U132</f>
        <v>2738.252716867</v>
      </c>
      <c r="V166" s="72" t="n">
        <f aca="false">V46+V89+V132</f>
        <v>3650.38823416477</v>
      </c>
      <c r="W166" s="72" t="n">
        <f aca="false">W46+W89+W132</f>
        <v>3469.49348274584</v>
      </c>
      <c r="X166" s="72" t="n">
        <f aca="false">X46+X89+X132</f>
        <v>2982.84274272726</v>
      </c>
      <c r="Y166" s="72" t="n">
        <f aca="false">Y46+Y89+Y132</f>
        <v>3717.2894760404</v>
      </c>
      <c r="Z166" s="72" t="n">
        <f aca="false">Z46+Z89+Z132</f>
        <v>3341.90898211722</v>
      </c>
      <c r="AA166" s="72" t="n">
        <f aca="false">AA46+AA89+AA132</f>
        <v>3471.4550085584</v>
      </c>
      <c r="AB166" s="72" t="n">
        <f aca="false">AB46+AB89+AB132</f>
        <v>3755.04341837559</v>
      </c>
    </row>
    <row r="167" customFormat="false" ht="15" hidden="false" customHeight="false" outlineLevel="0" collapsed="false">
      <c r="A167" s="29" t="s">
        <v>1070</v>
      </c>
      <c r="B167" s="60"/>
      <c r="C167" s="66" t="n">
        <f aca="false">SUM(E167:P167)</f>
        <v>38663.1919566057</v>
      </c>
      <c r="D167" s="66" t="n">
        <f aca="false">SUM(Q167:AB167)</f>
        <v>41391.4613597053</v>
      </c>
      <c r="E167" s="72" t="n">
        <f aca="false">E47+E90+E133</f>
        <v>2472.7</v>
      </c>
      <c r="F167" s="72" t="n">
        <f aca="false">F47+F90+F133</f>
        <v>2684.9</v>
      </c>
      <c r="G167" s="72" t="n">
        <f aca="false">G47+G90+G133</f>
        <v>3564.8</v>
      </c>
      <c r="H167" s="72" t="n">
        <f aca="false">H47+H90+H133</f>
        <v>2969.7</v>
      </c>
      <c r="I167" s="72" t="n">
        <f aca="false">I47+I90+I133</f>
        <v>2809.6</v>
      </c>
      <c r="J167" s="72" t="n">
        <f aca="false">J47+J90+J133</f>
        <v>3492.2</v>
      </c>
      <c r="K167" s="72" t="n">
        <f aca="false">K47+K90+K133</f>
        <v>3177.4</v>
      </c>
      <c r="L167" s="72" t="n">
        <f aca="false">L47+L90+L133</f>
        <v>2550.5</v>
      </c>
      <c r="M167" s="72" t="n">
        <f aca="false">M47+M90+M133</f>
        <v>3847.82773899198</v>
      </c>
      <c r="N167" s="72" t="n">
        <f aca="false">N47+N90+N133</f>
        <v>3551.60334045294</v>
      </c>
      <c r="O167" s="72" t="n">
        <f aca="false">O47+O90+O133</f>
        <v>3682.04229762983</v>
      </c>
      <c r="P167" s="72" t="n">
        <f aca="false">P47+P90+P133</f>
        <v>3859.91857953099</v>
      </c>
      <c r="Q167" s="72" t="n">
        <f aca="false">Q47+Q90+Q133</f>
        <v>3424.6085498899</v>
      </c>
      <c r="R167" s="72" t="n">
        <f aca="false">R47+R90+R133</f>
        <v>3551.21336518139</v>
      </c>
      <c r="S167" s="72" t="n">
        <f aca="false">S47+S90+S133</f>
        <v>3649.25988598269</v>
      </c>
      <c r="T167" s="72" t="n">
        <f aca="false">T47+T90+T133</f>
        <v>3639.7054970548</v>
      </c>
      <c r="U167" s="72" t="n">
        <f aca="false">U47+U90+U133</f>
        <v>2738.252716867</v>
      </c>
      <c r="V167" s="72" t="n">
        <f aca="false">V47+V90+V133</f>
        <v>3650.38823416477</v>
      </c>
      <c r="W167" s="72" t="n">
        <f aca="false">W47+W90+W133</f>
        <v>3469.49348274584</v>
      </c>
      <c r="X167" s="72" t="n">
        <f aca="false">X47+X90+X133</f>
        <v>2982.84274272726</v>
      </c>
      <c r="Y167" s="72" t="n">
        <f aca="false">Y47+Y90+Y133</f>
        <v>3717.2894760404</v>
      </c>
      <c r="Z167" s="72" t="n">
        <f aca="false">Z47+Z90+Z133</f>
        <v>3341.90898211722</v>
      </c>
      <c r="AA167" s="72" t="n">
        <f aca="false">AA47+AA90+AA133</f>
        <v>3471.4550085584</v>
      </c>
      <c r="AB167" s="72" t="n">
        <f aca="false">AB47+AB90+AB133</f>
        <v>3755.04341837559</v>
      </c>
    </row>
    <row r="168" customFormat="false" ht="15" hidden="false" customHeight="false" outlineLevel="0" collapsed="false">
      <c r="A168" s="29" t="s">
        <v>1071</v>
      </c>
      <c r="B168" s="60"/>
      <c r="C168" s="66" t="n">
        <f aca="false">SUM(E168:P168)</f>
        <v>1977.74482074117</v>
      </c>
      <c r="D168" s="66" t="n">
        <f aca="false">SUM(Q168:AB168)</f>
        <v>295.736086181819</v>
      </c>
      <c r="E168" s="72" t="n">
        <f aca="false">E48+E91+E134</f>
        <v>46</v>
      </c>
      <c r="F168" s="72" t="n">
        <f aca="false">F48+F91+F134</f>
        <v>89.9</v>
      </c>
      <c r="G168" s="72" t="n">
        <f aca="false">G48+G91+G134</f>
        <v>26.5</v>
      </c>
      <c r="H168" s="72" t="n">
        <f aca="false">H48+H91+H134</f>
        <v>133.1</v>
      </c>
      <c r="I168" s="72" t="n">
        <f aca="false">I48+I91+I134</f>
        <v>334.3</v>
      </c>
      <c r="J168" s="72" t="n">
        <f aca="false">J48+J91+J134</f>
        <v>426.2</v>
      </c>
      <c r="K168" s="72" t="n">
        <f aca="false">K48+K91+K134</f>
        <v>165.3</v>
      </c>
      <c r="L168" s="72" t="n">
        <f aca="false">L48+L91+L134</f>
        <v>109</v>
      </c>
      <c r="M168" s="72" t="n">
        <f aca="false">M48+M91+M134</f>
        <v>322.929283613445</v>
      </c>
      <c r="N168" s="72" t="n">
        <f aca="false">N48+N91+N134</f>
        <v>133.893316625527</v>
      </c>
      <c r="O168" s="72" t="n">
        <f aca="false">O48+O91+O134</f>
        <v>38.3707532299596</v>
      </c>
      <c r="P168" s="72" t="n">
        <f aca="false">P48+P91+P134</f>
        <v>152.251467272243</v>
      </c>
      <c r="Q168" s="72" t="n">
        <f aca="false">Q48+Q91+Q134</f>
        <v>142.52383823637</v>
      </c>
      <c r="R168" s="72" t="n">
        <f aca="false">R48+R91+R134</f>
        <v>152.872297312838</v>
      </c>
      <c r="S168" s="72" t="n">
        <f aca="false">S48+S91+S134</f>
        <v>0.339950632611362</v>
      </c>
      <c r="T168" s="72" t="n">
        <f aca="false">T48+T91+T134</f>
        <v>0</v>
      </c>
      <c r="U168" s="72" t="n">
        <f aca="false">U48+U91+U134</f>
        <v>0</v>
      </c>
      <c r="V168" s="72" t="n">
        <f aca="false">V48+V91+V134</f>
        <v>0</v>
      </c>
      <c r="W168" s="72" t="n">
        <f aca="false">W48+W91+W134</f>
        <v>0</v>
      </c>
      <c r="X168" s="72" t="n">
        <f aca="false">X48+X91+X134</f>
        <v>0</v>
      </c>
      <c r="Y168" s="72" t="n">
        <f aca="false">Y48+Y91+Y134</f>
        <v>0</v>
      </c>
      <c r="Z168" s="72" t="n">
        <f aca="false">Z48+Z91+Z134</f>
        <v>0</v>
      </c>
      <c r="AA168" s="72" t="n">
        <f aca="false">AA48+AA91+AA134</f>
        <v>0</v>
      </c>
      <c r="AB168" s="72" t="n">
        <f aca="false">AB48+AB91+AB134</f>
        <v>0</v>
      </c>
    </row>
    <row r="169" customFormat="false" ht="15" hidden="false" customHeight="false" outlineLevel="0" collapsed="false">
      <c r="A169" s="68" t="s">
        <v>1072</v>
      </c>
      <c r="B169" s="69"/>
      <c r="C169" s="75" t="n">
        <f aca="false">IF(C164=0,0,C167/C164)</f>
        <v>0.699615496932586</v>
      </c>
      <c r="D169" s="75" t="n">
        <f aca="false">IF(D164=0,0,D167/D164)</f>
        <v>0.66034983194751</v>
      </c>
      <c r="E169" s="75" t="n">
        <f aca="false">IF(E164=0,0,E167/E164)</f>
        <v>0.596118611378978</v>
      </c>
      <c r="F169" s="75" t="n">
        <f aca="false">IF(F164=0,0,F167/F164)</f>
        <v>0.645719095719096</v>
      </c>
      <c r="G169" s="75" t="n">
        <f aca="false">IF(G164=0,0,G167/G164)</f>
        <v>0.733196215549157</v>
      </c>
      <c r="H169" s="75" t="n">
        <f aca="false">IF(H164=0,0,H167/H164)</f>
        <v>0.714213564213564</v>
      </c>
      <c r="I169" s="75" t="n">
        <f aca="false">IF(I164=0,0,I167/I164)</f>
        <v>0.766393889798145</v>
      </c>
      <c r="J169" s="75" t="n">
        <f aca="false">IF(J164=0,0,J167/J164)</f>
        <v>0.742073948151296</v>
      </c>
      <c r="K169" s="75" t="n">
        <f aca="false">IF(K164=0,0,K167/K164)</f>
        <v>0.626706114398422</v>
      </c>
      <c r="L169" s="75" t="n">
        <f aca="false">IF(L164=0,0,L167/L164)</f>
        <v>0.645369433198381</v>
      </c>
      <c r="M169" s="75" t="n">
        <f aca="false">IF(M164=0,0,M167/M164)</f>
        <v>0.736498719298478</v>
      </c>
      <c r="N169" s="75" t="n">
        <f aca="false">IF(N164=0,0,N167/N164)</f>
        <v>0.69209599643478</v>
      </c>
      <c r="O169" s="75" t="n">
        <f aca="false">IF(O164=0,0,O167/O164)</f>
        <v>0.732512764900228</v>
      </c>
      <c r="P169" s="75" t="n">
        <f aca="false">IF(P164=0,0,P167/P164)</f>
        <v>0.747938076908751</v>
      </c>
      <c r="Q169" s="75" t="n">
        <f aca="false">IF(Q164=0,0,Q167/Q164)</f>
        <v>0.743343091819484</v>
      </c>
      <c r="R169" s="75" t="n">
        <f aca="false">IF(R164=0,0,R167/R164)</f>
        <v>0.747722726403476</v>
      </c>
      <c r="S169" s="75" t="n">
        <f aca="false">IF(S164=0,0,S167/S164)</f>
        <v>0.716595405615998</v>
      </c>
      <c r="T169" s="75" t="n">
        <f aca="false">IF(T164=0,0,T167/T164)</f>
        <v>0.671971693608424</v>
      </c>
      <c r="U169" s="75" t="n">
        <f aca="false">IF(U164=0,0,U167/U164)</f>
        <v>0.663390277979392</v>
      </c>
      <c r="V169" s="75" t="n">
        <f aca="false">IF(V164=0,0,V167/V164)</f>
        <v>0.652949814981637</v>
      </c>
      <c r="W169" s="75" t="n">
        <f aca="false">IF(W164=0,0,W167/W164)</f>
        <v>0.640810477193761</v>
      </c>
      <c r="X169" s="75" t="n">
        <f aca="false">IF(X164=0,0,X167/X164)</f>
        <v>0.629142684608392</v>
      </c>
      <c r="Y169" s="75" t="n">
        <f aca="false">IF(Y164=0,0,Y167/Y164)</f>
        <v>0.630534805392897</v>
      </c>
      <c r="Z169" s="75" t="n">
        <f aca="false">IF(Z164=0,0,Z167/Z164)</f>
        <v>0.622647796970561</v>
      </c>
      <c r="AA169" s="75" t="n">
        <f aca="false">IF(AA164=0,0,AA167/AA164)</f>
        <v>0.618750292344893</v>
      </c>
      <c r="AB169" s="75" t="n">
        <f aca="false">IF(AB164=0,0,AB167/AB164)</f>
        <v>0.618726711129359</v>
      </c>
    </row>
    <row r="170" customFormat="false" ht="15" hidden="false" customHeight="false" outlineLevel="0" collapsed="false">
      <c r="A170" s="29" t="s">
        <v>1073</v>
      </c>
      <c r="B170" s="60" t="s">
        <v>1074</v>
      </c>
      <c r="C170" s="63" t="n">
        <f aca="false">IF(C164=0,0,(C143*Assumptions!$F$64+C147*Assumptions!$F$65+C151*Assumptions!$F$66+C155*Assumptions!$F$67+C159*Assumptions!$F$68)/C164)</f>
        <v>0.740688325815096</v>
      </c>
      <c r="D170" s="63" t="n">
        <f aca="false">IF(D164=0,0,(D143*Assumptions!$F$64+D147*Assumptions!$F$65+D151*Assumptions!$F$66+D155*Assumptions!$F$67+D159*Assumptions!$F$68)/D164)</f>
        <v>0.748146042022551</v>
      </c>
      <c r="E170" s="65" t="n">
        <f aca="false">IF(E164=0,0,(E143*Assumptions!$F$64+E147*Assumptions!$F$65+E151*Assumptions!$F$66+E155*Assumptions!$F$67+E159*Assumptions!$F$68)/E164)</f>
        <v>0.736393442622951</v>
      </c>
      <c r="F170" s="65" t="n">
        <f aca="false">IF(F164=0,0,(F143*Assumptions!$F$64+F147*Assumptions!$F$65+F151*Assumptions!$F$66+F155*Assumptions!$F$67+F159*Assumptions!$F$68)/F164)</f>
        <v>0.736825396825397</v>
      </c>
      <c r="G170" s="65" t="n">
        <f aca="false">IF(G164=0,0,(G143*Assumptions!$F$64+G147*Assumptions!$F$65+G151*Assumptions!$F$66+G155*Assumptions!$F$67+G159*Assumptions!$F$68)/G164)</f>
        <v>0.739384615384616</v>
      </c>
      <c r="H170" s="65" t="n">
        <f aca="false">IF(H164=0,0,(H143*Assumptions!$F$64+H147*Assumptions!$F$65+H151*Assumptions!$F$66+H155*Assumptions!$F$67+H159*Assumptions!$F$68)/H164)</f>
        <v>0.736825396825397</v>
      </c>
      <c r="I170" s="65" t="n">
        <f aca="false">IF(I164=0,0,(I143*Assumptions!$F$64+I147*Assumptions!$F$65+I151*Assumptions!$F$66+I155*Assumptions!$F$67+I159*Assumptions!$F$68)/I164)</f>
        <v>0.739384615384615</v>
      </c>
      <c r="J170" s="65" t="n">
        <f aca="false">IF(J164=0,0,(J143*Assumptions!$F$64+J147*Assumptions!$F$65+J151*Assumptions!$F$66+J155*Assumptions!$F$67+J159*Assumptions!$F$68)/J164)</f>
        <v>0.739384615384615</v>
      </c>
      <c r="K170" s="65" t="n">
        <f aca="false">IF(K164=0,0,(K143*Assumptions!$F$64+K147*Assumptions!$F$65+K151*Assumptions!$F$66+K155*Assumptions!$F$67+K159*Assumptions!$F$68)/K164)</f>
        <v>0.739384615384615</v>
      </c>
      <c r="L170" s="65" t="n">
        <f aca="false">IF(L164=0,0,(L143*Assumptions!$F$64+L147*Assumptions!$F$65+L151*Assumptions!$F$66+L155*Assumptions!$F$67+L159*Assumptions!$F$68)/L164)</f>
        <v>0.739384615384615</v>
      </c>
      <c r="M170" s="65" t="n">
        <f aca="false">IF(M164=0,0,(M143*Assumptions!$F$64+M147*Assumptions!$F$65+M151*Assumptions!$F$66+M155*Assumptions!$F$67+M159*Assumptions!$F$68)/M164)</f>
        <v>0.743572995369242</v>
      </c>
      <c r="N170" s="65" t="n">
        <f aca="false">IF(N164=0,0,(N143*Assumptions!$F$64+N147*Assumptions!$F$65+N151*Assumptions!$F$66+N155*Assumptions!$F$67+N159*Assumptions!$F$68)/N164)</f>
        <v>0.745236912375339</v>
      </c>
      <c r="O170" s="65" t="n">
        <f aca="false">IF(O164=0,0,(O143*Assumptions!$F$64+O147*Assumptions!$F$65+O151*Assumptions!$F$66+O155*Assumptions!$F$67+O159*Assumptions!$F$68)/O164)</f>
        <v>0.744699066058436</v>
      </c>
      <c r="P170" s="65" t="n">
        <f aca="false">IF(P164=0,0,(P143*Assumptions!$F$64+P147*Assumptions!$F$65+P151*Assumptions!$F$66+P155*Assumptions!$F$67+P159*Assumptions!$F$68)/P164)</f>
        <v>0.744637675199042</v>
      </c>
      <c r="Q170" s="65" t="n">
        <f aca="false">IF(Q164=0,0,(Q143*Assumptions!$F$64+Q147*Assumptions!$F$65+Q151*Assumptions!$F$66+Q155*Assumptions!$F$67+Q159*Assumptions!$F$68)/Q164)</f>
        <v>0.746794116859649</v>
      </c>
      <c r="R170" s="65" t="n">
        <f aca="false">IF(R164=0,0,(R143*Assumptions!$F$64+R147*Assumptions!$F$65+R151*Assumptions!$F$66+R155*Assumptions!$F$67+R159*Assumptions!$F$68)/R164)</f>
        <v>0.746775834656436</v>
      </c>
      <c r="S170" s="65" t="n">
        <f aca="false">IF(S164=0,0,(S143*Assumptions!$F$64+S147*Assumptions!$F$65+S151*Assumptions!$F$66+S155*Assumptions!$F$67+S159*Assumptions!$F$68)/S164)</f>
        <v>0.746751090726072</v>
      </c>
      <c r="T170" s="65" t="n">
        <f aca="false">IF(T164=0,0,(T143*Assumptions!$F$64+T147*Assumptions!$F$65+T151*Assumptions!$F$66+T155*Assumptions!$F$67+T159*Assumptions!$F$68)/T164)</f>
        <v>0.746784069581484</v>
      </c>
      <c r="U170" s="65" t="n">
        <f aca="false">IF(U164=0,0,(U143*Assumptions!$F$64+U147*Assumptions!$F$65+U151*Assumptions!$F$66+U155*Assumptions!$F$67+U159*Assumptions!$F$68)/U164)</f>
        <v>0.746784425121396</v>
      </c>
      <c r="V170" s="65" t="n">
        <f aca="false">IF(V164=0,0,(V143*Assumptions!$F$64+V147*Assumptions!$F$65+V151*Assumptions!$F$66+V155*Assumptions!$F$67+V159*Assumptions!$F$68)/V164)</f>
        <v>0.74678455264779</v>
      </c>
      <c r="W170" s="65" t="n">
        <f aca="false">IF(W164=0,0,(W143*Assumptions!$F$64+W147*Assumptions!$F$65+W151*Assumptions!$F$66+W155*Assumptions!$F$67+W159*Assumptions!$F$68)/W164)</f>
        <v>0.746784374130897</v>
      </c>
      <c r="X170" s="65" t="n">
        <f aca="false">IF(X164=0,0,(X143*Assumptions!$F$64+X147*Assumptions!$F$65+X151*Assumptions!$F$66+X155*Assumptions!$F$67+X159*Assumptions!$F$68)/X164)</f>
        <v>0.746784364500224</v>
      </c>
      <c r="Y170" s="65" t="n">
        <f aca="false">IF(Y164=0,0,(Y143*Assumptions!$F$64+Y147*Assumptions!$F$65+Y151*Assumptions!$F$66+Y155*Assumptions!$F$67+Y159*Assumptions!$F$68)/Y164)</f>
        <v>0.750579607037252</v>
      </c>
      <c r="Z170" s="65" t="n">
        <f aca="false">IF(Z164=0,0,(Z143*Assumptions!$F$64+Z147*Assumptions!$F$65+Z151*Assumptions!$F$66+Z155*Assumptions!$F$67+Z159*Assumptions!$F$68)/Z164)</f>
        <v>0.750534593004287</v>
      </c>
      <c r="AA170" s="65" t="n">
        <f aca="false">IF(AA164=0,0,(AA143*Assumptions!$F$64+AA147*Assumptions!$F$65+AA151*Assumptions!$F$66+AA155*Assumptions!$F$67+AA159*Assumptions!$F$68)/AA164)</f>
        <v>0.750490088211414</v>
      </c>
      <c r="AB170" s="65" t="n">
        <f aca="false">IF(AB164=0,0,(AB143*Assumptions!$F$64+AB147*Assumptions!$F$65+AB151*Assumptions!$F$66+AB155*Assumptions!$F$67+AB159*Assumptions!$F$68)/AB164)</f>
        <v>0.750446083473724</v>
      </c>
    </row>
    <row r="171" customFormat="false" ht="15" hidden="false" customHeight="false" outlineLevel="0" collapsed="false">
      <c r="A171" s="29" t="s">
        <v>1075</v>
      </c>
      <c r="B171" s="60" t="s">
        <v>1076</v>
      </c>
      <c r="C171" s="61" t="n">
        <f aca="false">SUM(E171:P171)</f>
        <v>357574.282201884</v>
      </c>
      <c r="D171" s="61" t="n">
        <f aca="false">SUM(Q171:AB171)</f>
        <v>590632.344725128</v>
      </c>
      <c r="E171" s="62" t="n">
        <f aca="false">((E143*Assumptions!$F$64-E144)*Assumptions!$C$86+(E147*Assumptions!$F$65-E148)*Assumptions!$C$87+(E151*Assumptions!$F$66-E152)*Assumptions!$C$88+(E155*Assumptions!$F$67-E156)*Assumptions!$C$89+(E159*Assumptions!$F$68-E160)*Assumptions!$C$90)*Assumptions!E$193</f>
        <v>83377.2518203482</v>
      </c>
      <c r="F171" s="62" t="n">
        <f aca="false">((F143*Assumptions!$F$64-F144)*Assumptions!$C$86+(F147*Assumptions!$F$65-F148)*Assumptions!$C$87+(F151*Assumptions!$F$66-F152)*Assumptions!$C$88+(F155*Assumptions!$F$67-F156)*Assumptions!$C$89+(F159*Assumptions!$F$68-F160)*Assumptions!$C$90)*Assumptions!F$193</f>
        <v>59738.236805489</v>
      </c>
      <c r="G171" s="62" t="n">
        <f aca="false">((G143*Assumptions!$F$64-G144)*Assumptions!$C$86+(G147*Assumptions!$F$65-G148)*Assumptions!$C$87+(G151*Assumptions!$F$66-G152)*Assumptions!$C$88+(G155*Assumptions!$F$67-G156)*Assumptions!$C$89+(G159*Assumptions!$F$68-G160)*Assumptions!$C$90)*Assumptions!G$193</f>
        <v>22172.9939803124</v>
      </c>
      <c r="H171" s="62" t="n">
        <f aca="false">((H143*Assumptions!$F$64-H144)*Assumptions!$C$86+(H147*Assumptions!$F$65-H148)*Assumptions!$C$87+(H151*Assumptions!$F$66-H152)*Assumptions!$C$88+(H155*Assumptions!$F$67-H156)*Assumptions!$C$89+(H159*Assumptions!$F$68-H160)*Assumptions!$C$90)*Assumptions!H$193</f>
        <v>27671.8004267736</v>
      </c>
      <c r="I171" s="62" t="n">
        <f aca="false">((I143*Assumptions!$F$64-I144)*Assumptions!$C$86+(I147*Assumptions!$F$65-I148)*Assumptions!$C$87+(I151*Assumptions!$F$66-I152)*Assumptions!$C$88+(I155*Assumptions!$F$67-I156)*Assumptions!$C$89+(I159*Assumptions!$F$68-I160)*Assumptions!$C$90)*Assumptions!I$193</f>
        <v>-4908.76312015801</v>
      </c>
      <c r="J171" s="62" t="n">
        <f aca="false">((J143*Assumptions!$F$64-J144)*Assumptions!$C$86+(J147*Assumptions!$F$65-J148)*Assumptions!$C$87+(J151*Assumptions!$F$66-J152)*Assumptions!$C$88+(J155*Assumptions!$F$67-J156)*Assumptions!$C$89+(J159*Assumptions!$F$68-J160)*Assumptions!$C$90)*Assumptions!J$193</f>
        <v>6809.18702132962</v>
      </c>
      <c r="K171" s="62" t="n">
        <f aca="false">((K143*Assumptions!$F$64-K144)*Assumptions!$C$86+(K147*Assumptions!$F$65-K148)*Assumptions!$C$87+(K151*Assumptions!$F$66-K152)*Assumptions!$C$88+(K155*Assumptions!$F$67-K156)*Assumptions!$C$89+(K159*Assumptions!$F$68-K160)*Assumptions!$C$90)*Assumptions!K$193</f>
        <v>71459.3054873778</v>
      </c>
      <c r="L171" s="62" t="n">
        <f aca="false">((L143*Assumptions!$F$64-L144)*Assumptions!$C$86+(L147*Assumptions!$F$65-L148)*Assumptions!$C$87+(L151*Assumptions!$F$66-L152)*Assumptions!$C$88+(L155*Assumptions!$F$67-L156)*Assumptions!$C$89+(L159*Assumptions!$F$68-L160)*Assumptions!$C$90)*Assumptions!L$193</f>
        <v>47094.5631478203</v>
      </c>
      <c r="M171" s="62" t="n">
        <f aca="false">((M143*Assumptions!$F$64-M144)*Assumptions!$C$86+(M147*Assumptions!$F$65-M148)*Assumptions!$C$87+(M151*Assumptions!$F$66-M152)*Assumptions!$C$88+(M155*Assumptions!$F$67-M156)*Assumptions!$C$89+(M159*Assumptions!$F$68-M160)*Assumptions!$C$90)*Assumptions!M$193</f>
        <v>5094.38540596538</v>
      </c>
      <c r="N171" s="62" t="n">
        <f aca="false">((N143*Assumptions!$F$64-N144)*Assumptions!$C$86+(N147*Assumptions!$F$65-N148)*Assumptions!$C$87+(N151*Assumptions!$F$66-N152)*Assumptions!$C$88+(N155*Assumptions!$F$67-N156)*Assumptions!$C$89+(N159*Assumptions!$F$68-N160)*Assumptions!$C$90)*Assumptions!N$193</f>
        <v>30986.4528818633</v>
      </c>
      <c r="O171" s="62" t="n">
        <f aca="false">((O143*Assumptions!$F$64-O144)*Assumptions!$C$86+(O147*Assumptions!$F$65-O148)*Assumptions!$C$87+(O151*Assumptions!$F$66-O152)*Assumptions!$C$88+(O155*Assumptions!$F$67-O156)*Assumptions!$C$89+(O159*Assumptions!$F$68-O160)*Assumptions!$C$90)*Assumptions!O$193</f>
        <v>7764.41967992759</v>
      </c>
      <c r="P171" s="62" t="n">
        <f aca="false">((P143*Assumptions!$F$64-P144)*Assumptions!$C$86+(P147*Assumptions!$F$65-P148)*Assumptions!$C$87+(P151*Assumptions!$F$66-P152)*Assumptions!$C$88+(P155*Assumptions!$F$67-P156)*Assumptions!$C$89+(P159*Assumptions!$F$68-P160)*Assumptions!$C$90)*Assumptions!P$193</f>
        <v>314.448664834483</v>
      </c>
      <c r="Q171" s="62" t="n">
        <f aca="false">((Q143*Assumptions!$F$64-Q144)*Assumptions!$C$86+(Q147*Assumptions!$F$65-Q148)*Assumptions!$C$87+(Q151*Assumptions!$F$66-Q152)*Assumptions!$C$88+(Q155*Assumptions!$F$67-Q156)*Assumptions!$C$89+(Q159*Assumptions!$F$68-Q160)*Assumptions!$C$90)*Assumptions!Q$193</f>
        <v>1593.23697917522</v>
      </c>
      <c r="R171" s="62" t="n">
        <f aca="false">((R143*Assumptions!$F$64-R144)*Assumptions!$C$86+(R147*Assumptions!$F$65-R148)*Assumptions!$C$87+(R151*Assumptions!$F$66-R152)*Assumptions!$C$88+(R155*Assumptions!$F$67-R156)*Assumptions!$C$89+(R159*Assumptions!$F$68-R160)*Assumptions!$C$90)*Assumptions!R$193</f>
        <v>-2028.64535507427</v>
      </c>
      <c r="S171" s="62" t="n">
        <f aca="false">((S143*Assumptions!$F$64-S144)*Assumptions!$C$86+(S147*Assumptions!$F$65-S148)*Assumptions!$C$87+(S151*Assumptions!$F$66-S152)*Assumptions!$C$88+(S155*Assumptions!$F$67-S156)*Assumptions!$C$89+(S159*Assumptions!$F$68-S160)*Assumptions!$C$90)*Assumptions!S$193</f>
        <v>18410.6052127597</v>
      </c>
      <c r="T171" s="62" t="n">
        <f aca="false">((T143*Assumptions!$F$64-T144)*Assumptions!$C$86+(T147*Assumptions!$F$65-T148)*Assumptions!$C$87+(T151*Assumptions!$F$66-T152)*Assumptions!$C$88+(T155*Assumptions!$F$67-T156)*Assumptions!$C$89+(T159*Assumptions!$F$68-T160)*Assumptions!$C$90)*Assumptions!T$193</f>
        <v>45028.493884443</v>
      </c>
      <c r="U171" s="62" t="n">
        <f aca="false">((U143*Assumptions!$F$64-U144)*Assumptions!$C$86+(U147*Assumptions!$F$65-U148)*Assumptions!$C$87+(U151*Assumptions!$F$66-U152)*Assumptions!$C$88+(U155*Assumptions!$F$67-U156)*Assumptions!$C$89+(U159*Assumptions!$F$68-U160)*Assumptions!$C$90)*Assumptions!U$193</f>
        <v>37973.3594531365</v>
      </c>
      <c r="V171" s="62" t="n">
        <f aca="false">((V143*Assumptions!$F$64-V144)*Assumptions!$C$86+(V147*Assumptions!$F$65-V148)*Assumptions!$C$87+(V151*Assumptions!$F$66-V152)*Assumptions!$C$88+(V155*Assumptions!$F$67-V156)*Assumptions!$C$89+(V159*Assumptions!$F$68-V160)*Assumptions!$C$90)*Assumptions!V$193</f>
        <v>57728.7244809082</v>
      </c>
      <c r="W171" s="62" t="n">
        <f aca="false">((W143*Assumptions!$F$64-W144)*Assumptions!$C$86+(W147*Assumptions!$F$65-W148)*Assumptions!$C$87+(W151*Assumptions!$F$66-W152)*Assumptions!$C$88+(W155*Assumptions!$F$67-W156)*Assumptions!$C$89+(W159*Assumptions!$F$68-W160)*Assumptions!$C$90)*Assumptions!W$193</f>
        <v>62697.1651475009</v>
      </c>
      <c r="X171" s="62" t="n">
        <f aca="false">((X143*Assumptions!$F$64-X144)*Assumptions!$C$86+(X147*Assumptions!$F$65-X148)*Assumptions!$C$87+(X151*Assumptions!$F$66-X152)*Assumptions!$C$88+(X155*Assumptions!$F$67-X156)*Assumptions!$C$89+(X159*Assumptions!$F$68-X160)*Assumptions!$C$90)*Assumptions!X$193</f>
        <v>60618.5977328963</v>
      </c>
      <c r="Y171" s="62" t="n">
        <f aca="false">((Y143*Assumptions!$F$64-Y144)*Assumptions!$C$86+(Y147*Assumptions!$F$65-Y148)*Assumptions!$C$87+(Y151*Assumptions!$F$66-Y152)*Assumptions!$C$88+(Y155*Assumptions!$F$67-Y156)*Assumptions!$C$89+(Y159*Assumptions!$F$68-Y160)*Assumptions!$C$90)*Assumptions!Y$193</f>
        <v>74521.3935014038</v>
      </c>
      <c r="Z171" s="62" t="n">
        <f aca="false">((Z143*Assumptions!$F$64-Z144)*Assumptions!$C$86+(Z147*Assumptions!$F$65-Z148)*Assumptions!$C$87+(Z151*Assumptions!$F$66-Z152)*Assumptions!$C$88+(Z155*Assumptions!$F$67-Z156)*Assumptions!$C$89+(Z159*Assumptions!$F$68-Z160)*Assumptions!$C$90)*Assumptions!Z$193</f>
        <v>72218.8630835959</v>
      </c>
      <c r="AA171" s="62" t="n">
        <f aca="false">((AA143*Assumptions!$F$64-AA144)*Assumptions!$C$86+(AA147*Assumptions!$F$65-AA148)*Assumptions!$C$87+(AA151*Assumptions!$F$66-AA152)*Assumptions!$C$88+(AA155*Assumptions!$F$67-AA156)*Assumptions!$C$89+(AA159*Assumptions!$F$68-AA160)*Assumptions!$C$90)*Assumptions!AA$193</f>
        <v>77750.4541950532</v>
      </c>
      <c r="AB171" s="62" t="n">
        <f aca="false">((AB143*Assumptions!$F$64-AB144)*Assumptions!$C$86+(AB147*Assumptions!$F$65-AB148)*Assumptions!$C$87+(AB151*Assumptions!$F$66-AB152)*Assumptions!$C$88+(AB155*Assumptions!$F$67-AB156)*Assumptions!$C$89+(AB159*Assumptions!$F$68-AB160)*Assumptions!$C$90)*Assumptions!AB$193</f>
        <v>84120.0964093293</v>
      </c>
    </row>
    <row r="172" customFormat="false" ht="15" hidden="false" customHeight="false" outlineLevel="0" collapsed="false">
      <c r="A172" s="29" t="s">
        <v>330</v>
      </c>
      <c r="B172" s="60"/>
      <c r="C172" s="63" t="n">
        <f aca="false">IF(C166=0,0,C168/C166)</f>
        <v>0.0486638590930208</v>
      </c>
      <c r="D172" s="63" t="n">
        <f aca="false">IF(D166=0,0,D168/D166)</f>
        <v>0.00709417049600673</v>
      </c>
      <c r="E172" s="64" t="n">
        <f aca="false">IF(E166=0,0,E168/E166)</f>
        <v>0.0182633898439671</v>
      </c>
      <c r="F172" s="64" t="n">
        <f aca="false">IF(F166=0,0,F168/F166)</f>
        <v>0.0323987314401038</v>
      </c>
      <c r="G172" s="64" t="n">
        <f aca="false">IF(G166=0,0,G168/G166)</f>
        <v>0.00737894355804305</v>
      </c>
      <c r="H172" s="64" t="n">
        <f aca="false">IF(H166=0,0,H168/H166)</f>
        <v>0.0428967384298053</v>
      </c>
      <c r="I172" s="64" t="n">
        <f aca="false">IF(I166=0,0,I168/I166)</f>
        <v>0.106332898629091</v>
      </c>
      <c r="J172" s="64" t="n">
        <f aca="false">IF(J166=0,0,J168/J166)</f>
        <v>0.10876888525929</v>
      </c>
      <c r="K172" s="64" t="n">
        <f aca="false">IF(K166=0,0,K168/K166)</f>
        <v>0.0494510425703772</v>
      </c>
      <c r="L172" s="64" t="n">
        <f aca="false">IF(L166=0,0,L168/L166)</f>
        <v>0.0409851475841324</v>
      </c>
      <c r="M172" s="64" t="n">
        <f aca="false">IF(M166=0,0,M168/M166)</f>
        <v>0.0774270190910607</v>
      </c>
      <c r="N172" s="64" t="n">
        <f aca="false">IF(N166=0,0,N168/N166)</f>
        <v>0.0363297891936404</v>
      </c>
      <c r="O172" s="64" t="n">
        <f aca="false">IF(O166=0,0,O168/O166)</f>
        <v>0.0103135734407479</v>
      </c>
      <c r="P172" s="64" t="n">
        <f aca="false">IF(P166=0,0,P168/P166)</f>
        <v>0.0379474113749371</v>
      </c>
      <c r="Q172" s="64" t="n">
        <f aca="false">IF(Q166=0,0,Q168/Q166)</f>
        <v>0.0399547375115042</v>
      </c>
      <c r="R172" s="64" t="n">
        <f aca="false">IF(R166=0,0,R168/R166)</f>
        <v>0.0412712640155027</v>
      </c>
      <c r="S172" s="64" t="n">
        <f aca="false">IF(S166=0,0,S168/S166)</f>
        <v>9.31473717202483E-005</v>
      </c>
      <c r="T172" s="64" t="n">
        <f aca="false">IF(T166=0,0,T168/T166)</f>
        <v>0</v>
      </c>
      <c r="U172" s="64" t="n">
        <f aca="false">IF(U166=0,0,U168/U166)</f>
        <v>0</v>
      </c>
      <c r="V172" s="64" t="n">
        <f aca="false">IF(V166=0,0,V168/V166)</f>
        <v>0</v>
      </c>
      <c r="W172" s="64" t="n">
        <f aca="false">IF(W166=0,0,W168/W166)</f>
        <v>0</v>
      </c>
      <c r="X172" s="64" t="n">
        <f aca="false">IF(X166=0,0,X168/X166)</f>
        <v>0</v>
      </c>
      <c r="Y172" s="64" t="n">
        <f aca="false">IF(Y166=0,0,Y168/Y166)</f>
        <v>0</v>
      </c>
      <c r="Z172" s="64" t="n">
        <f aca="false">IF(Z166=0,0,Z168/Z166)</f>
        <v>0</v>
      </c>
      <c r="AA172" s="64" t="n">
        <f aca="false">IF(AA166=0,0,AA168/AA166)</f>
        <v>0</v>
      </c>
      <c r="AB172" s="64" t="n">
        <f aca="false">IF(AB166=0,0,AB168/AB166)</f>
        <v>0</v>
      </c>
    </row>
    <row r="173" customFormat="false" ht="15" hidden="false" customHeight="false" outlineLevel="0" collapsed="false">
      <c r="A173" s="29" t="s">
        <v>1077</v>
      </c>
      <c r="B173" s="60" t="s">
        <v>1078</v>
      </c>
      <c r="C173" s="66" t="n">
        <f aca="false">P173</f>
        <v>7.74924162492163</v>
      </c>
      <c r="D173" s="66" t="n">
        <f aca="false">AB173</f>
        <v>8.75219775981406</v>
      </c>
      <c r="E173" s="67" t="n">
        <f aca="false">(People!E143-People!E40-People!E64-People!E88)/(People!E40+People!E64+People!E88+1)</f>
        <v>6.75</v>
      </c>
      <c r="F173" s="67" t="n">
        <f aca="false">(People!F143-People!F40-People!F64-People!F88)/(People!F40+People!F64+People!F88+1)</f>
        <v>7</v>
      </c>
      <c r="G173" s="67" t="n">
        <f aca="false">(People!G143-People!G40-People!G64-People!G88)/(People!G40+People!G64+People!G88+1)</f>
        <v>7.25</v>
      </c>
      <c r="H173" s="67" t="n">
        <f aca="false">(People!H143-People!H40-People!H64-People!H88)/(People!H40+People!H64+People!H88+1)</f>
        <v>7</v>
      </c>
      <c r="I173" s="67" t="n">
        <f aca="false">(People!I143-People!I40-People!I64-People!I88)/(People!I40+People!I64+People!I88+1)</f>
        <v>7.25</v>
      </c>
      <c r="J173" s="67" t="n">
        <f aca="false">(People!J143-People!J40-People!J64-People!J88)/(People!J40+People!J64+People!J88+1)</f>
        <v>7.25</v>
      </c>
      <c r="K173" s="67" t="n">
        <f aca="false">(People!K143-People!K40-People!K64-People!K88)/(People!K40+People!K64+People!K88+1)</f>
        <v>7.25</v>
      </c>
      <c r="L173" s="67" t="n">
        <f aca="false">(People!L143-People!L40-People!L64-People!L88)/(People!L40+People!L64+People!L88+1)</f>
        <v>7.25</v>
      </c>
      <c r="M173" s="67" t="n">
        <f aca="false">(People!M143-People!M40-People!M64-People!M88)/(People!M40+People!M64+People!M88+1)</f>
        <v>7.67291666666667</v>
      </c>
      <c r="N173" s="67" t="n">
        <f aca="false">(People!N143-People!N40-People!N64-People!N88)/(People!N40+People!N64+People!N88+1)</f>
        <v>7.84046006944444</v>
      </c>
      <c r="O173" s="67" t="n">
        <f aca="false">(People!O143-People!O40-People!O64-People!O88)/(People!O40+People!O64+People!O88+1)</f>
        <v>7.75582298900463</v>
      </c>
      <c r="P173" s="67" t="n">
        <f aca="false">(People!P143-People!P40-People!P64-People!P88)/(People!P40+People!P64+People!P88+1)</f>
        <v>7.74924162492163</v>
      </c>
      <c r="Q173" s="67" t="n">
        <f aca="false">(People!Q143-People!Q40-People!Q64-People!Q88)/(People!Q40+People!Q64+People!Q88+1)</f>
        <v>8.12311762241819</v>
      </c>
      <c r="R173" s="67" t="n">
        <f aca="false">(People!R143-People!R40-People!R64-People!R88)/(People!R40+People!R64+People!R88+1)</f>
        <v>8.12002268835926</v>
      </c>
      <c r="S173" s="67" t="n">
        <f aca="false">(People!S143-People!S40-People!S64-People!S88)/(People!S40+People!S64+People!S88+1)</f>
        <v>8.11599030021369</v>
      </c>
      <c r="T173" s="67" t="n">
        <f aca="false">(People!T143-People!T40-People!T64-People!T88)/(People!T40+People!T64+People!T88+1)</f>
        <v>8.27441988767778</v>
      </c>
      <c r="U173" s="67" t="n">
        <f aca="false">(People!U143-People!U40-People!U64-People!U88)/(People!U40+People!U64+People!U88+1)</f>
        <v>8.27319332184322</v>
      </c>
      <c r="V173" s="67" t="n">
        <f aca="false">(People!V143-People!V40-People!V64-People!V88)/(People!V40+People!V64+People!V88+1)</f>
        <v>8.2719416202964</v>
      </c>
      <c r="W173" s="67" t="n">
        <f aca="false">(People!W143-People!W40-People!W64-People!W88)/(People!W40+People!W64+People!W88+1)</f>
        <v>8.27065396727204</v>
      </c>
      <c r="X173" s="67" t="n">
        <f aca="false">(People!X143-People!X40-People!X64-People!X88)/(People!X40+People!X64+People!X88+1)</f>
        <v>8.27068446348773</v>
      </c>
      <c r="Y173" s="67" t="n">
        <f aca="false">(People!Y143-People!Y40-People!Y64-People!Y88)/(People!Y40+People!Y64+People!Y88+1)</f>
        <v>8.77070492342274</v>
      </c>
      <c r="Z173" s="67" t="n">
        <f aca="false">(People!Z143-People!Z40-People!Z64-People!Z88)/(People!Z40+People!Z64+People!Z88+1)</f>
        <v>8.76446509662583</v>
      </c>
      <c r="AA173" s="67" t="n">
        <f aca="false">(People!AA143-People!AA40-People!AA64-People!AA88)/(People!AA40+People!AA64+People!AA88+1)</f>
        <v>8.7582927305415</v>
      </c>
      <c r="AB173" s="67" t="n">
        <f aca="false">(People!AB143-People!AB40-People!AB64-People!AB88)/(People!AB40+People!AB64+People!AB88+1)</f>
        <v>8.75219775981406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6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1079</v>
      </c>
    </row>
    <row r="3" customFormat="false" ht="15" hidden="false" customHeight="false" outlineLevel="0" collapsed="false">
      <c r="A3" s="51" t="s">
        <v>1080</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1081</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1082</v>
      </c>
      <c r="B9" s="60" t="s">
        <v>1083</v>
      </c>
      <c r="C9" s="66" t="n">
        <f aca="false">SUM(E9:P9)</f>
        <v>1</v>
      </c>
      <c r="D9" s="66" t="n">
        <f aca="false">SUM(Q9:AB9)</f>
        <v>0</v>
      </c>
      <c r="E9" s="72" t="n">
        <f aca="false">0</f>
        <v>0</v>
      </c>
      <c r="F9" s="72" t="n">
        <f aca="false">0</f>
        <v>0</v>
      </c>
      <c r="G9" s="72" t="n">
        <f aca="false">0</f>
        <v>0</v>
      </c>
      <c r="H9" s="72" t="n">
        <f aca="false">0</f>
        <v>0</v>
      </c>
      <c r="I9" s="72" t="n">
        <f aca="false">0</f>
        <v>0</v>
      </c>
      <c r="J9" s="72" t="n">
        <f aca="false">0</f>
        <v>0</v>
      </c>
      <c r="K9" s="72" t="n">
        <f aca="false">0</f>
        <v>0</v>
      </c>
      <c r="L9" s="72" t="n">
        <f aca="false">0</f>
        <v>0</v>
      </c>
      <c r="M9" s="67" t="n">
        <f aca="false">IF(Assumptions!M$187=9,1*1,0)</f>
        <v>1</v>
      </c>
      <c r="N9" s="67" t="n">
        <f aca="false">IF(Assumptions!N$187=9,1*1,0)</f>
        <v>0</v>
      </c>
      <c r="O9" s="67" t="n">
        <f aca="false">IF(Assumptions!O$187=9,1*1,0)</f>
        <v>0</v>
      </c>
      <c r="P9" s="67" t="n">
        <f aca="false">IF(Assumptions!P$187=9,1*1,0)</f>
        <v>0</v>
      </c>
      <c r="Q9" s="67" t="n">
        <f aca="false">IF(Assumptions!Q$187=9,1*1,0)</f>
        <v>0</v>
      </c>
      <c r="R9" s="67" t="n">
        <f aca="false">IF(Assumptions!R$187=9,1*1,0)</f>
        <v>0</v>
      </c>
      <c r="S9" s="67" t="n">
        <f aca="false">IF(Assumptions!S$187=9,1*1,0)</f>
        <v>0</v>
      </c>
      <c r="T9" s="67" t="n">
        <f aca="false">IF(Assumptions!T$187=9,1*1,0)</f>
        <v>0</v>
      </c>
      <c r="U9" s="67" t="n">
        <f aca="false">IF(Assumptions!U$187=9,1*1,0)</f>
        <v>0</v>
      </c>
      <c r="V9" s="67" t="n">
        <f aca="false">IF(Assumptions!V$187=9,1*1,0)</f>
        <v>0</v>
      </c>
      <c r="W9" s="67" t="n">
        <f aca="false">IF(Assumptions!W$187=9,1*1,0)</f>
        <v>0</v>
      </c>
      <c r="X9" s="67" t="n">
        <f aca="false">IF(Assumptions!X$187=9,1*1,0)</f>
        <v>0</v>
      </c>
      <c r="Y9" s="67" t="n">
        <f aca="false">IF(Assumptions!Y$187=9,1*1,0)</f>
        <v>0</v>
      </c>
      <c r="Z9" s="67" t="n">
        <f aca="false">IF(Assumptions!Z$187=9,1*1,0)</f>
        <v>0</v>
      </c>
      <c r="AA9" s="67" t="n">
        <f aca="false">IF(Assumptions!AA$187=9,1*1,0)</f>
        <v>0</v>
      </c>
      <c r="AB9" s="67" t="n">
        <f aca="false">IF(Assumptions!AB$187=9,1*1,0)</f>
        <v>0</v>
      </c>
    </row>
    <row r="10" customFormat="false" ht="15" hidden="false" customHeight="false" outlineLevel="0" collapsed="false">
      <c r="A10" s="29" t="s">
        <v>1084</v>
      </c>
      <c r="B10" s="60" t="s">
        <v>1083</v>
      </c>
      <c r="C10" s="66" t="n">
        <f aca="false">SUM(E10:P10)</f>
        <v>1</v>
      </c>
      <c r="D10" s="66" t="n">
        <f aca="false">SUM(Q10:AB10)</f>
        <v>0</v>
      </c>
      <c r="E10" s="72" t="n">
        <f aca="false">0</f>
        <v>0</v>
      </c>
      <c r="F10" s="72" t="n">
        <f aca="false">0</f>
        <v>0</v>
      </c>
      <c r="G10" s="72" t="n">
        <f aca="false">0</f>
        <v>0</v>
      </c>
      <c r="H10" s="72" t="n">
        <f aca="false">0</f>
        <v>0</v>
      </c>
      <c r="I10" s="72" t="n">
        <f aca="false">0</f>
        <v>0</v>
      </c>
      <c r="J10" s="72" t="n">
        <f aca="false">0</f>
        <v>0</v>
      </c>
      <c r="K10" s="72" t="n">
        <f aca="false">0</f>
        <v>0</v>
      </c>
      <c r="L10" s="72" t="n">
        <f aca="false">0</f>
        <v>0</v>
      </c>
      <c r="M10" s="67" t="n">
        <f aca="false">IF(Assumptions!M$187=9,1*1,0)</f>
        <v>1</v>
      </c>
      <c r="N10" s="67" t="n">
        <f aca="false">IF(Assumptions!N$187=9,1*1,0)</f>
        <v>0</v>
      </c>
      <c r="O10" s="67" t="n">
        <f aca="false">IF(Assumptions!O$187=9,1*1,0)</f>
        <v>0</v>
      </c>
      <c r="P10" s="67" t="n">
        <f aca="false">IF(Assumptions!P$187=9,1*1,0)</f>
        <v>0</v>
      </c>
      <c r="Q10" s="67" t="n">
        <f aca="false">IF(Assumptions!Q$187=9,1*1,0)</f>
        <v>0</v>
      </c>
      <c r="R10" s="67" t="n">
        <f aca="false">IF(Assumptions!R$187=9,1*1,0)</f>
        <v>0</v>
      </c>
      <c r="S10" s="67" t="n">
        <f aca="false">IF(Assumptions!S$187=9,1*1,0)</f>
        <v>0</v>
      </c>
      <c r="T10" s="67" t="n">
        <f aca="false">IF(Assumptions!T$187=9,1*1,0)</f>
        <v>0</v>
      </c>
      <c r="U10" s="67" t="n">
        <f aca="false">IF(Assumptions!U$187=9,1*1,0)</f>
        <v>0</v>
      </c>
      <c r="V10" s="67" t="n">
        <f aca="false">IF(Assumptions!V$187=9,1*1,0)</f>
        <v>0</v>
      </c>
      <c r="W10" s="67" t="n">
        <f aca="false">IF(Assumptions!W$187=9,1*1,0)</f>
        <v>0</v>
      </c>
      <c r="X10" s="67" t="n">
        <f aca="false">IF(Assumptions!X$187=9,1*1,0)</f>
        <v>0</v>
      </c>
      <c r="Y10" s="67" t="n">
        <f aca="false">IF(Assumptions!Y$187=9,1*1,0)</f>
        <v>0</v>
      </c>
      <c r="Z10" s="67" t="n">
        <f aca="false">IF(Assumptions!Z$187=9,1*1,0)</f>
        <v>0</v>
      </c>
      <c r="AA10" s="67" t="n">
        <f aca="false">IF(Assumptions!AA$187=9,1*1,0)</f>
        <v>0</v>
      </c>
      <c r="AB10" s="67" t="n">
        <f aca="false">IF(Assumptions!AB$187=9,1*1,0)</f>
        <v>0</v>
      </c>
    </row>
    <row r="11" customFormat="false" ht="15" hidden="false" customHeight="false" outlineLevel="0" collapsed="false">
      <c r="A11" s="29" t="s">
        <v>1085</v>
      </c>
      <c r="B11" s="60" t="s">
        <v>1083</v>
      </c>
      <c r="C11" s="66" t="n">
        <f aca="false">SUM(E11:P11)</f>
        <v>1</v>
      </c>
      <c r="D11" s="66" t="n">
        <f aca="false">SUM(Q11:AB11)</f>
        <v>0</v>
      </c>
      <c r="E11" s="72" t="n">
        <f aca="false">0</f>
        <v>0</v>
      </c>
      <c r="F11" s="72" t="n">
        <f aca="false">0</f>
        <v>0</v>
      </c>
      <c r="G11" s="72" t="n">
        <f aca="false">0</f>
        <v>0</v>
      </c>
      <c r="H11" s="72" t="n">
        <f aca="false">0</f>
        <v>0</v>
      </c>
      <c r="I11" s="72" t="n">
        <f aca="false">0</f>
        <v>0</v>
      </c>
      <c r="J11" s="72" t="n">
        <f aca="false">0</f>
        <v>0</v>
      </c>
      <c r="K11" s="72" t="n">
        <f aca="false">0</f>
        <v>0</v>
      </c>
      <c r="L11" s="72" t="n">
        <f aca="false">0</f>
        <v>0</v>
      </c>
      <c r="M11" s="67" t="n">
        <f aca="false">IF(Assumptions!M$187=10,1*1,0)</f>
        <v>0</v>
      </c>
      <c r="N11" s="67" t="n">
        <f aca="false">IF(Assumptions!N$187=10,1*1,0)</f>
        <v>1</v>
      </c>
      <c r="O11" s="67" t="n">
        <f aca="false">IF(Assumptions!O$187=10,1*1,0)</f>
        <v>0</v>
      </c>
      <c r="P11" s="67" t="n">
        <f aca="false">IF(Assumptions!P$187=10,1*1,0)</f>
        <v>0</v>
      </c>
      <c r="Q11" s="67" t="n">
        <f aca="false">IF(Assumptions!Q$187=10,1*1,0)</f>
        <v>0</v>
      </c>
      <c r="R11" s="67" t="n">
        <f aca="false">IF(Assumptions!R$187=10,1*1,0)</f>
        <v>0</v>
      </c>
      <c r="S11" s="67" t="n">
        <f aca="false">IF(Assumptions!S$187=10,1*1,0)</f>
        <v>0</v>
      </c>
      <c r="T11" s="67" t="n">
        <f aca="false">IF(Assumptions!T$187=10,1*1,0)</f>
        <v>0</v>
      </c>
      <c r="U11" s="67" t="n">
        <f aca="false">IF(Assumptions!U$187=10,1*1,0)</f>
        <v>0</v>
      </c>
      <c r="V11" s="67" t="n">
        <f aca="false">IF(Assumptions!V$187=10,1*1,0)</f>
        <v>0</v>
      </c>
      <c r="W11" s="67" t="n">
        <f aca="false">IF(Assumptions!W$187=10,1*1,0)</f>
        <v>0</v>
      </c>
      <c r="X11" s="67" t="n">
        <f aca="false">IF(Assumptions!X$187=10,1*1,0)</f>
        <v>0</v>
      </c>
      <c r="Y11" s="67" t="n">
        <f aca="false">IF(Assumptions!Y$187=10,1*1,0)</f>
        <v>0</v>
      </c>
      <c r="Z11" s="67" t="n">
        <f aca="false">IF(Assumptions!Z$187=10,1*1,0)</f>
        <v>0</v>
      </c>
      <c r="AA11" s="67" t="n">
        <f aca="false">IF(Assumptions!AA$187=10,1*1,0)</f>
        <v>0</v>
      </c>
      <c r="AB11" s="67" t="n">
        <f aca="false">IF(Assumptions!AB$187=10,1*1,0)</f>
        <v>0</v>
      </c>
    </row>
    <row r="12" customFormat="false" ht="15" hidden="false" customHeight="false" outlineLevel="0" collapsed="false">
      <c r="A12" s="29" t="s">
        <v>1086</v>
      </c>
      <c r="B12" s="60" t="s">
        <v>1083</v>
      </c>
      <c r="C12" s="66" t="n">
        <f aca="false">SUM(E12:P12)</f>
        <v>0</v>
      </c>
      <c r="D12" s="66" t="n">
        <f aca="false">SUM(Q12:AB12)</f>
        <v>1</v>
      </c>
      <c r="E12" s="72" t="n">
        <f aca="false">0</f>
        <v>0</v>
      </c>
      <c r="F12" s="72" t="n">
        <f aca="false">0</f>
        <v>0</v>
      </c>
      <c r="G12" s="72" t="n">
        <f aca="false">0</f>
        <v>0</v>
      </c>
      <c r="H12" s="72" t="n">
        <f aca="false">0</f>
        <v>0</v>
      </c>
      <c r="I12" s="72" t="n">
        <f aca="false">0</f>
        <v>0</v>
      </c>
      <c r="J12" s="72" t="n">
        <f aca="false">0</f>
        <v>0</v>
      </c>
      <c r="K12" s="72" t="n">
        <f aca="false">0</f>
        <v>0</v>
      </c>
      <c r="L12" s="72" t="n">
        <f aca="false">0</f>
        <v>0</v>
      </c>
      <c r="M12" s="67" t="n">
        <f aca="false">IF(Assumptions!M$187=13,1*Assumptions!$F$175,0)</f>
        <v>0</v>
      </c>
      <c r="N12" s="67" t="n">
        <f aca="false">IF(Assumptions!N$187=13,1*Assumptions!$F$175,0)</f>
        <v>0</v>
      </c>
      <c r="O12" s="67" t="n">
        <f aca="false">IF(Assumptions!O$187=13,1*Assumptions!$F$175,0)</f>
        <v>0</v>
      </c>
      <c r="P12" s="67" t="n">
        <f aca="false">IF(Assumptions!P$187=13,1*Assumptions!$F$175,0)</f>
        <v>0</v>
      </c>
      <c r="Q12" s="67" t="n">
        <f aca="false">IF(Assumptions!Q$187=13,1*Assumptions!$F$175,0)</f>
        <v>1</v>
      </c>
      <c r="R12" s="67" t="n">
        <f aca="false">IF(Assumptions!R$187=13,1*Assumptions!$F$175,0)</f>
        <v>0</v>
      </c>
      <c r="S12" s="67" t="n">
        <f aca="false">IF(Assumptions!S$187=13,1*Assumptions!$F$175,0)</f>
        <v>0</v>
      </c>
      <c r="T12" s="67" t="n">
        <f aca="false">IF(Assumptions!T$187=13,1*Assumptions!$F$175,0)</f>
        <v>0</v>
      </c>
      <c r="U12" s="67" t="n">
        <f aca="false">IF(Assumptions!U$187=13,1*Assumptions!$F$175,0)</f>
        <v>0</v>
      </c>
      <c r="V12" s="67" t="n">
        <f aca="false">IF(Assumptions!V$187=13,1*Assumptions!$F$175,0)</f>
        <v>0</v>
      </c>
      <c r="W12" s="67" t="n">
        <f aca="false">IF(Assumptions!W$187=13,1*Assumptions!$F$175,0)</f>
        <v>0</v>
      </c>
      <c r="X12" s="67" t="n">
        <f aca="false">IF(Assumptions!X$187=13,1*Assumptions!$F$175,0)</f>
        <v>0</v>
      </c>
      <c r="Y12" s="67" t="n">
        <f aca="false">IF(Assumptions!Y$187=13,1*Assumptions!$F$175,0)</f>
        <v>0</v>
      </c>
      <c r="Z12" s="67" t="n">
        <f aca="false">IF(Assumptions!Z$187=13,1*Assumptions!$F$175,0)</f>
        <v>0</v>
      </c>
      <c r="AA12" s="67" t="n">
        <f aca="false">IF(Assumptions!AA$187=13,1*Assumptions!$F$175,0)</f>
        <v>0</v>
      </c>
      <c r="AB12" s="67" t="n">
        <f aca="false">IF(Assumptions!AB$187=13,1*Assumptions!$F$175,0)</f>
        <v>0</v>
      </c>
    </row>
    <row r="13" customFormat="false" ht="15" hidden="false" customHeight="false" outlineLevel="0" collapsed="false">
      <c r="A13" s="29" t="s">
        <v>1087</v>
      </c>
      <c r="B13" s="60" t="s">
        <v>1083</v>
      </c>
      <c r="C13" s="66" t="n">
        <f aca="false">SUM(E13:P13)</f>
        <v>0</v>
      </c>
      <c r="D13" s="66" t="n">
        <f aca="false">SUM(Q13:AB13)</f>
        <v>0.5</v>
      </c>
      <c r="E13" s="72" t="n">
        <f aca="false">0</f>
        <v>0</v>
      </c>
      <c r="F13" s="72" t="n">
        <f aca="false">0</f>
        <v>0</v>
      </c>
      <c r="G13" s="72" t="n">
        <f aca="false">0</f>
        <v>0</v>
      </c>
      <c r="H13" s="72" t="n">
        <f aca="false">0</f>
        <v>0</v>
      </c>
      <c r="I13" s="72" t="n">
        <f aca="false">0</f>
        <v>0</v>
      </c>
      <c r="J13" s="72" t="n">
        <f aca="false">0</f>
        <v>0</v>
      </c>
      <c r="K13" s="72" t="n">
        <f aca="false">0</f>
        <v>0</v>
      </c>
      <c r="L13" s="72" t="n">
        <f aca="false">0</f>
        <v>0</v>
      </c>
      <c r="M13" s="67" t="n">
        <f aca="false">IF(Assumptions!M$187=13,1*Assumptions!$F$175*Engagement_Register!$S$31,0)</f>
        <v>0</v>
      </c>
      <c r="N13" s="67" t="n">
        <f aca="false">IF(Assumptions!N$187=13,1*Assumptions!$F$175*Engagement_Register!$S$31,0)</f>
        <v>0</v>
      </c>
      <c r="O13" s="67" t="n">
        <f aca="false">IF(Assumptions!O$187=13,1*Assumptions!$F$175*Engagement_Register!$S$31,0)</f>
        <v>0</v>
      </c>
      <c r="P13" s="67" t="n">
        <f aca="false">IF(Assumptions!P$187=13,1*Assumptions!$F$175*Engagement_Register!$S$31,0)</f>
        <v>0</v>
      </c>
      <c r="Q13" s="67" t="n">
        <f aca="false">IF(Assumptions!Q$187=13,1*Assumptions!$F$175*Engagement_Register!$S$31,0)</f>
        <v>0.5</v>
      </c>
      <c r="R13" s="67" t="n">
        <f aca="false">IF(Assumptions!R$187=13,1*Assumptions!$F$175*Engagement_Register!$S$31,0)</f>
        <v>0</v>
      </c>
      <c r="S13" s="67" t="n">
        <f aca="false">IF(Assumptions!S$187=13,1*Assumptions!$F$175*Engagement_Register!$S$31,0)</f>
        <v>0</v>
      </c>
      <c r="T13" s="67" t="n">
        <f aca="false">IF(Assumptions!T$187=13,1*Assumptions!$F$175*Engagement_Register!$S$31,0)</f>
        <v>0</v>
      </c>
      <c r="U13" s="67" t="n">
        <f aca="false">IF(Assumptions!U$187=13,1*Assumptions!$F$175*Engagement_Register!$S$31,0)</f>
        <v>0</v>
      </c>
      <c r="V13" s="67" t="n">
        <f aca="false">IF(Assumptions!V$187=13,1*Assumptions!$F$175*Engagement_Register!$S$31,0)</f>
        <v>0</v>
      </c>
      <c r="W13" s="67" t="n">
        <f aca="false">IF(Assumptions!W$187=13,1*Assumptions!$F$175*Engagement_Register!$S$31,0)</f>
        <v>0</v>
      </c>
      <c r="X13" s="67" t="n">
        <f aca="false">IF(Assumptions!X$187=13,1*Assumptions!$F$175*Engagement_Register!$S$31,0)</f>
        <v>0</v>
      </c>
      <c r="Y13" s="67" t="n">
        <f aca="false">IF(Assumptions!Y$187=13,1*Assumptions!$F$175*Engagement_Register!$S$31,0)</f>
        <v>0</v>
      </c>
      <c r="Z13" s="67" t="n">
        <f aca="false">IF(Assumptions!Z$187=13,1*Assumptions!$F$175*Engagement_Register!$S$31,0)</f>
        <v>0</v>
      </c>
      <c r="AA13" s="67" t="n">
        <f aca="false">IF(Assumptions!AA$187=13,1*Assumptions!$F$175*Engagement_Register!$S$31,0)</f>
        <v>0</v>
      </c>
      <c r="AB13" s="67" t="n">
        <f aca="false">IF(Assumptions!AB$187=13,1*Assumptions!$F$175*Engagement_Register!$S$31,0)</f>
        <v>0</v>
      </c>
    </row>
    <row r="14" customFormat="false" ht="15" hidden="false" customHeight="false" outlineLevel="0" collapsed="false">
      <c r="A14" s="29" t="s">
        <v>1088</v>
      </c>
      <c r="B14" s="60" t="s">
        <v>1083</v>
      </c>
      <c r="C14" s="66" t="n">
        <f aca="false">SUM(E14:P14)</f>
        <v>0</v>
      </c>
      <c r="D14" s="66" t="n">
        <f aca="false">SUM(Q14:AB14)</f>
        <v>0.65</v>
      </c>
      <c r="E14" s="72" t="n">
        <f aca="false">0</f>
        <v>0</v>
      </c>
      <c r="F14" s="72" t="n">
        <f aca="false">0</f>
        <v>0</v>
      </c>
      <c r="G14" s="72" t="n">
        <f aca="false">0</f>
        <v>0</v>
      </c>
      <c r="H14" s="72" t="n">
        <f aca="false">0</f>
        <v>0</v>
      </c>
      <c r="I14" s="72" t="n">
        <f aca="false">0</f>
        <v>0</v>
      </c>
      <c r="J14" s="72" t="n">
        <f aca="false">0</f>
        <v>0</v>
      </c>
      <c r="K14" s="72" t="n">
        <f aca="false">0</f>
        <v>0</v>
      </c>
      <c r="L14" s="72" t="n">
        <f aca="false">0</f>
        <v>0</v>
      </c>
      <c r="M14" s="67" t="n">
        <f aca="false">IF(Assumptions!M$187=16,1*Assumptions!$F$175*Engagement_Register!$S$30,0)</f>
        <v>0</v>
      </c>
      <c r="N14" s="67" t="n">
        <f aca="false">IF(Assumptions!N$187=16,1*Assumptions!$F$175*Engagement_Register!$S$30,0)</f>
        <v>0</v>
      </c>
      <c r="O14" s="67" t="n">
        <f aca="false">IF(Assumptions!O$187=16,1*Assumptions!$F$175*Engagement_Register!$S$30,0)</f>
        <v>0</v>
      </c>
      <c r="P14" s="67" t="n">
        <f aca="false">IF(Assumptions!P$187=16,1*Assumptions!$F$175*Engagement_Register!$S$30,0)</f>
        <v>0</v>
      </c>
      <c r="Q14" s="67" t="n">
        <f aca="false">IF(Assumptions!Q$187=16,1*Assumptions!$F$175*Engagement_Register!$S$30,0)</f>
        <v>0</v>
      </c>
      <c r="R14" s="67" t="n">
        <f aca="false">IF(Assumptions!R$187=16,1*Assumptions!$F$175*Engagement_Register!$S$30,0)</f>
        <v>0</v>
      </c>
      <c r="S14" s="67" t="n">
        <f aca="false">IF(Assumptions!S$187=16,1*Assumptions!$F$175*Engagement_Register!$S$30,0)</f>
        <v>0</v>
      </c>
      <c r="T14" s="67" t="n">
        <f aca="false">IF(Assumptions!T$187=16,1*Assumptions!$F$175*Engagement_Register!$S$30,0)</f>
        <v>0.65</v>
      </c>
      <c r="U14" s="67" t="n">
        <f aca="false">IF(Assumptions!U$187=16,1*Assumptions!$F$175*Engagement_Register!$S$30,0)</f>
        <v>0</v>
      </c>
      <c r="V14" s="67" t="n">
        <f aca="false">IF(Assumptions!V$187=16,1*Assumptions!$F$175*Engagement_Register!$S$30,0)</f>
        <v>0</v>
      </c>
      <c r="W14" s="67" t="n">
        <f aca="false">IF(Assumptions!W$187=16,1*Assumptions!$F$175*Engagement_Register!$S$30,0)</f>
        <v>0</v>
      </c>
      <c r="X14" s="67" t="n">
        <f aca="false">IF(Assumptions!X$187=16,1*Assumptions!$F$175*Engagement_Register!$S$30,0)</f>
        <v>0</v>
      </c>
      <c r="Y14" s="67" t="n">
        <f aca="false">IF(Assumptions!Y$187=16,1*Assumptions!$F$175*Engagement_Register!$S$30,0)</f>
        <v>0</v>
      </c>
      <c r="Z14" s="67" t="n">
        <f aca="false">IF(Assumptions!Z$187=16,1*Assumptions!$F$175*Engagement_Register!$S$30,0)</f>
        <v>0</v>
      </c>
      <c r="AA14" s="67" t="n">
        <f aca="false">IF(Assumptions!AA$187=16,1*Assumptions!$F$175*Engagement_Register!$S$30,0)</f>
        <v>0</v>
      </c>
      <c r="AB14" s="67" t="n">
        <f aca="false">IF(Assumptions!AB$187=16,1*Assumptions!$F$175*Engagement_Register!$S$30,0)</f>
        <v>0</v>
      </c>
    </row>
    <row r="15" customFormat="false" ht="15" hidden="false" customHeight="false" outlineLevel="0" collapsed="false">
      <c r="A15" s="29" t="s">
        <v>1089</v>
      </c>
      <c r="B15" s="60" t="s">
        <v>1083</v>
      </c>
      <c r="C15" s="66" t="n">
        <f aca="false">SUM(E15:P15)</f>
        <v>0</v>
      </c>
      <c r="D15" s="66" t="n">
        <f aca="false">SUM(Q15:AB15)</f>
        <v>1</v>
      </c>
      <c r="E15" s="72" t="n">
        <f aca="false">0</f>
        <v>0</v>
      </c>
      <c r="F15" s="72" t="n">
        <f aca="false">0</f>
        <v>0</v>
      </c>
      <c r="G15" s="72" t="n">
        <f aca="false">0</f>
        <v>0</v>
      </c>
      <c r="H15" s="72" t="n">
        <f aca="false">0</f>
        <v>0</v>
      </c>
      <c r="I15" s="72" t="n">
        <f aca="false">0</f>
        <v>0</v>
      </c>
      <c r="J15" s="72" t="n">
        <f aca="false">0</f>
        <v>0</v>
      </c>
      <c r="K15" s="72" t="n">
        <f aca="false">0</f>
        <v>0</v>
      </c>
      <c r="L15" s="72" t="n">
        <f aca="false">0</f>
        <v>0</v>
      </c>
      <c r="M15" s="67" t="n">
        <f aca="false">IF(Assumptions!M$187=21,1*Assumptions!$F$176,0)</f>
        <v>0</v>
      </c>
      <c r="N15" s="67" t="n">
        <f aca="false">IF(Assumptions!N$187=21,1*Assumptions!$F$176,0)</f>
        <v>0</v>
      </c>
      <c r="O15" s="67" t="n">
        <f aca="false">IF(Assumptions!O$187=21,1*Assumptions!$F$176,0)</f>
        <v>0</v>
      </c>
      <c r="P15" s="67" t="n">
        <f aca="false">IF(Assumptions!P$187=21,1*Assumptions!$F$176,0)</f>
        <v>0</v>
      </c>
      <c r="Q15" s="67" t="n">
        <f aca="false">IF(Assumptions!Q$187=21,1*Assumptions!$F$176,0)</f>
        <v>0</v>
      </c>
      <c r="R15" s="67" t="n">
        <f aca="false">IF(Assumptions!R$187=21,1*Assumptions!$F$176,0)</f>
        <v>0</v>
      </c>
      <c r="S15" s="67" t="n">
        <f aca="false">IF(Assumptions!S$187=21,1*Assumptions!$F$176,0)</f>
        <v>0</v>
      </c>
      <c r="T15" s="67" t="n">
        <f aca="false">IF(Assumptions!T$187=21,1*Assumptions!$F$176,0)</f>
        <v>0</v>
      </c>
      <c r="U15" s="67" t="n">
        <f aca="false">IF(Assumptions!U$187=21,1*Assumptions!$F$176,0)</f>
        <v>0</v>
      </c>
      <c r="V15" s="67" t="n">
        <f aca="false">IF(Assumptions!V$187=21,1*Assumptions!$F$176,0)</f>
        <v>0</v>
      </c>
      <c r="W15" s="67" t="n">
        <f aca="false">IF(Assumptions!W$187=21,1*Assumptions!$F$176,0)</f>
        <v>0</v>
      </c>
      <c r="X15" s="67" t="n">
        <f aca="false">IF(Assumptions!X$187=21,1*Assumptions!$F$176,0)</f>
        <v>0</v>
      </c>
      <c r="Y15" s="67" t="n">
        <f aca="false">IF(Assumptions!Y$187=21,1*Assumptions!$F$176,0)</f>
        <v>1</v>
      </c>
      <c r="Z15" s="67" t="n">
        <f aca="false">IF(Assumptions!Z$187=21,1*Assumptions!$F$176,0)</f>
        <v>0</v>
      </c>
      <c r="AA15" s="67" t="n">
        <f aca="false">IF(Assumptions!AA$187=21,1*Assumptions!$F$176,0)</f>
        <v>0</v>
      </c>
      <c r="AB15" s="67" t="n">
        <f aca="false">IF(Assumptions!AB$187=21,1*Assumptions!$F$176,0)</f>
        <v>0</v>
      </c>
    </row>
    <row r="16" customFormat="false" ht="15" hidden="false" customHeight="false" outlineLevel="0" collapsed="false">
      <c r="A16" s="29" t="s">
        <v>1090</v>
      </c>
      <c r="B16" s="60" t="s">
        <v>1083</v>
      </c>
      <c r="C16" s="66" t="n">
        <f aca="false">SUM(E16:P16)</f>
        <v>0</v>
      </c>
      <c r="D16" s="66" t="n">
        <f aca="false">SUM(Q16:AB16)</f>
        <v>1</v>
      </c>
      <c r="E16" s="72" t="n">
        <f aca="false">0</f>
        <v>0</v>
      </c>
      <c r="F16" s="72" t="n">
        <f aca="false">0</f>
        <v>0</v>
      </c>
      <c r="G16" s="72" t="n">
        <f aca="false">0</f>
        <v>0</v>
      </c>
      <c r="H16" s="72" t="n">
        <f aca="false">0</f>
        <v>0</v>
      </c>
      <c r="I16" s="72" t="n">
        <f aca="false">0</f>
        <v>0</v>
      </c>
      <c r="J16" s="72" t="n">
        <f aca="false">0</f>
        <v>0</v>
      </c>
      <c r="K16" s="72" t="n">
        <f aca="false">0</f>
        <v>0</v>
      </c>
      <c r="L16" s="72" t="n">
        <f aca="false">0</f>
        <v>0</v>
      </c>
      <c r="M16" s="67" t="n">
        <f aca="false">IF(Assumptions!M$187=21,1*Assumptions!$F$176,0)</f>
        <v>0</v>
      </c>
      <c r="N16" s="67" t="n">
        <f aca="false">IF(Assumptions!N$187=21,1*Assumptions!$F$176,0)</f>
        <v>0</v>
      </c>
      <c r="O16" s="67" t="n">
        <f aca="false">IF(Assumptions!O$187=21,1*Assumptions!$F$176,0)</f>
        <v>0</v>
      </c>
      <c r="P16" s="67" t="n">
        <f aca="false">IF(Assumptions!P$187=21,1*Assumptions!$F$176,0)</f>
        <v>0</v>
      </c>
      <c r="Q16" s="67" t="n">
        <f aca="false">IF(Assumptions!Q$187=21,1*Assumptions!$F$176,0)</f>
        <v>0</v>
      </c>
      <c r="R16" s="67" t="n">
        <f aca="false">IF(Assumptions!R$187=21,1*Assumptions!$F$176,0)</f>
        <v>0</v>
      </c>
      <c r="S16" s="67" t="n">
        <f aca="false">IF(Assumptions!S$187=21,1*Assumptions!$F$176,0)</f>
        <v>0</v>
      </c>
      <c r="T16" s="67" t="n">
        <f aca="false">IF(Assumptions!T$187=21,1*Assumptions!$F$176,0)</f>
        <v>0</v>
      </c>
      <c r="U16" s="67" t="n">
        <f aca="false">IF(Assumptions!U$187=21,1*Assumptions!$F$176,0)</f>
        <v>0</v>
      </c>
      <c r="V16" s="67" t="n">
        <f aca="false">IF(Assumptions!V$187=21,1*Assumptions!$F$176,0)</f>
        <v>0</v>
      </c>
      <c r="W16" s="67" t="n">
        <f aca="false">IF(Assumptions!W$187=21,1*Assumptions!$F$176,0)</f>
        <v>0</v>
      </c>
      <c r="X16" s="67" t="n">
        <f aca="false">IF(Assumptions!X$187=21,1*Assumptions!$F$176,0)</f>
        <v>0</v>
      </c>
      <c r="Y16" s="67" t="n">
        <f aca="false">IF(Assumptions!Y$187=21,1*Assumptions!$F$176,0)</f>
        <v>1</v>
      </c>
      <c r="Z16" s="67" t="n">
        <f aca="false">IF(Assumptions!Z$187=21,1*Assumptions!$F$176,0)</f>
        <v>0</v>
      </c>
      <c r="AA16" s="67" t="n">
        <f aca="false">IF(Assumptions!AA$187=21,1*Assumptions!$F$176,0)</f>
        <v>0</v>
      </c>
      <c r="AB16" s="67" t="n">
        <f aca="false">IF(Assumptions!AB$187=21,1*Assumptions!$F$176,0)</f>
        <v>0</v>
      </c>
    </row>
    <row r="17" customFormat="false" ht="15" hidden="false" customHeight="false" outlineLevel="0" collapsed="false">
      <c r="A17" s="29" t="s">
        <v>1091</v>
      </c>
      <c r="B17" s="60"/>
      <c r="C17" s="66" t="n">
        <f aca="false">SUM(E17:P17)</f>
        <v>3</v>
      </c>
      <c r="D17" s="66" t="n">
        <f aca="false">SUM(Q17:AB17)</f>
        <v>4.15</v>
      </c>
      <c r="E17" s="72" t="n">
        <f aca="false">E9+E10+E11+E12+E13+E14+E15+E16</f>
        <v>0</v>
      </c>
      <c r="F17" s="72" t="n">
        <f aca="false">F9+F10+F11+F12+F13+F14+F15+F16</f>
        <v>0</v>
      </c>
      <c r="G17" s="72" t="n">
        <f aca="false">G9+G10+G11+G12+G13+G14+G15+G16</f>
        <v>0</v>
      </c>
      <c r="H17" s="72" t="n">
        <f aca="false">H9+H10+H11+H12+H13+H14+H15+H16</f>
        <v>0</v>
      </c>
      <c r="I17" s="72" t="n">
        <f aca="false">I9+I10+I11+I12+I13+I14+I15+I16</f>
        <v>0</v>
      </c>
      <c r="J17" s="72" t="n">
        <f aca="false">J9+J10+J11+J12+J13+J14+J15+J16</f>
        <v>0</v>
      </c>
      <c r="K17" s="72" t="n">
        <f aca="false">K9+K10+K11+K12+K13+K14+K15+K16</f>
        <v>0</v>
      </c>
      <c r="L17" s="72" t="n">
        <f aca="false">L9+L10+L11+L12+L13+L14+L15+L16</f>
        <v>0</v>
      </c>
      <c r="M17" s="72" t="n">
        <f aca="false">M9+M10+M11+M12+M13+M14+M15+M16</f>
        <v>2</v>
      </c>
      <c r="N17" s="72" t="n">
        <f aca="false">N9+N10+N11+N12+N13+N14+N15+N16</f>
        <v>1</v>
      </c>
      <c r="O17" s="72" t="n">
        <f aca="false">O9+O10+O11+O12+O13+O14+O15+O16</f>
        <v>0</v>
      </c>
      <c r="P17" s="72" t="n">
        <f aca="false">P9+P10+P11+P12+P13+P14+P15+P16</f>
        <v>0</v>
      </c>
      <c r="Q17" s="72" t="n">
        <f aca="false">Q9+Q10+Q11+Q12+Q13+Q14+Q15+Q16</f>
        <v>1.5</v>
      </c>
      <c r="R17" s="72" t="n">
        <f aca="false">R9+R10+R11+R12+R13+R14+R15+R16</f>
        <v>0</v>
      </c>
      <c r="S17" s="72" t="n">
        <f aca="false">S9+S10+S11+S12+S13+S14+S15+S16</f>
        <v>0</v>
      </c>
      <c r="T17" s="72" t="n">
        <f aca="false">T9+T10+T11+T12+T13+T14+T15+T16</f>
        <v>0.65</v>
      </c>
      <c r="U17" s="72" t="n">
        <f aca="false">U9+U10+U11+U12+U13+U14+U15+U16</f>
        <v>0</v>
      </c>
      <c r="V17" s="72" t="n">
        <f aca="false">V9+V10+V11+V12+V13+V14+V15+V16</f>
        <v>0</v>
      </c>
      <c r="W17" s="72" t="n">
        <f aca="false">W9+W10+W11+W12+W13+W14+W15+W16</f>
        <v>0</v>
      </c>
      <c r="X17" s="72" t="n">
        <f aca="false">X9+X10+X11+X12+X13+X14+X15+X16</f>
        <v>0</v>
      </c>
      <c r="Y17" s="72" t="n">
        <f aca="false">Y9+Y10+Y11+Y12+Y13+Y14+Y15+Y16</f>
        <v>2</v>
      </c>
      <c r="Z17" s="72" t="n">
        <f aca="false">Z9+Z10+Z11+Z12+Z13+Z14+Z15+Z16</f>
        <v>0</v>
      </c>
      <c r="AA17" s="72" t="n">
        <f aca="false">AA9+AA10+AA11+AA12+AA13+AA14+AA15+AA16</f>
        <v>0</v>
      </c>
      <c r="AB17" s="72" t="n">
        <f aca="false">AB9+AB10+AB11+AB12+AB13+AB14+AB15+AB16</f>
        <v>0</v>
      </c>
    </row>
    <row r="18" customFormat="false" ht="15" hidden="false" customHeight="false" outlineLevel="0" collapsed="false">
      <c r="A18" s="29" t="s">
        <v>1092</v>
      </c>
      <c r="B18" s="60" t="s">
        <v>1093</v>
      </c>
      <c r="C18" s="61" t="n">
        <f aca="false">SUM(E18:P18)</f>
        <v>23260</v>
      </c>
      <c r="D18" s="61" t="n">
        <f aca="false">SUM(Q18:AB18)</f>
        <v>53459.84</v>
      </c>
      <c r="E18" s="62" t="n">
        <f aca="false">E11*Assumptions!$C$94*Assumptions!$D$67*Assumptions!E$193+E12*Assumptions!$C$94*Assumptions!$D$67*Assumptions!E$193+E13*Assumptions!$C$94*Assumptions!$D$66*Assumptions!E$193+E14*Assumptions!$C$94*Assumptions!$D$66*Assumptions!E$193+E9*Assumptions!$C$95+E10*Assumptions!$C$95+E15*Assumptions!$C$95+E16*Assumptions!$C$95</f>
        <v>0</v>
      </c>
      <c r="F18" s="62" t="n">
        <f aca="false">F11*Assumptions!$C$94*Assumptions!$D$67*Assumptions!F$193+F12*Assumptions!$C$94*Assumptions!$D$67*Assumptions!F$193+F13*Assumptions!$C$94*Assumptions!$D$66*Assumptions!F$193+F14*Assumptions!$C$94*Assumptions!$D$66*Assumptions!F$193+F9*Assumptions!$C$95+F10*Assumptions!$C$95+F15*Assumptions!$C$95+F16*Assumptions!$C$95</f>
        <v>0</v>
      </c>
      <c r="G18" s="62" t="n">
        <f aca="false">G11*Assumptions!$C$94*Assumptions!$D$67*Assumptions!G$193+G12*Assumptions!$C$94*Assumptions!$D$67*Assumptions!G$193+G13*Assumptions!$C$94*Assumptions!$D$66*Assumptions!G$193+G14*Assumptions!$C$94*Assumptions!$D$66*Assumptions!G$193+G9*Assumptions!$C$95+G10*Assumptions!$C$95+G15*Assumptions!$C$95+G16*Assumptions!$C$95</f>
        <v>0</v>
      </c>
      <c r="H18" s="62" t="n">
        <f aca="false">H11*Assumptions!$C$94*Assumptions!$D$67*Assumptions!H$193+H12*Assumptions!$C$94*Assumptions!$D$67*Assumptions!H$193+H13*Assumptions!$C$94*Assumptions!$D$66*Assumptions!H$193+H14*Assumptions!$C$94*Assumptions!$D$66*Assumptions!H$193+H9*Assumptions!$C$95+H10*Assumptions!$C$95+H15*Assumptions!$C$95+H16*Assumptions!$C$95</f>
        <v>0</v>
      </c>
      <c r="I18" s="62" t="n">
        <f aca="false">I11*Assumptions!$C$94*Assumptions!$D$67*Assumptions!I$193+I12*Assumptions!$C$94*Assumptions!$D$67*Assumptions!I$193+I13*Assumptions!$C$94*Assumptions!$D$66*Assumptions!I$193+I14*Assumptions!$C$94*Assumptions!$D$66*Assumptions!I$193+I9*Assumptions!$C$95+I10*Assumptions!$C$95+I15*Assumptions!$C$95+I16*Assumptions!$C$95</f>
        <v>0</v>
      </c>
      <c r="J18" s="62" t="n">
        <f aca="false">J11*Assumptions!$C$94*Assumptions!$D$67*Assumptions!J$193+J12*Assumptions!$C$94*Assumptions!$D$67*Assumptions!J$193+J13*Assumptions!$C$94*Assumptions!$D$66*Assumptions!J$193+J14*Assumptions!$C$94*Assumptions!$D$66*Assumptions!J$193+J9*Assumptions!$C$95+J10*Assumptions!$C$95+J15*Assumptions!$C$95+J16*Assumptions!$C$95</f>
        <v>0</v>
      </c>
      <c r="K18" s="62" t="n">
        <f aca="false">K11*Assumptions!$C$94*Assumptions!$D$67*Assumptions!K$193+K12*Assumptions!$C$94*Assumptions!$D$67*Assumptions!K$193+K13*Assumptions!$C$94*Assumptions!$D$66*Assumptions!K$193+K14*Assumptions!$C$94*Assumptions!$D$66*Assumptions!K$193+K9*Assumptions!$C$95+K10*Assumptions!$C$95+K15*Assumptions!$C$95+K16*Assumptions!$C$95</f>
        <v>0</v>
      </c>
      <c r="L18" s="62" t="n">
        <f aca="false">L11*Assumptions!$C$94*Assumptions!$D$67*Assumptions!L$193+L12*Assumptions!$C$94*Assumptions!$D$67*Assumptions!L$193+L13*Assumptions!$C$94*Assumptions!$D$66*Assumptions!L$193+L14*Assumptions!$C$94*Assumptions!$D$66*Assumptions!L$193+L9*Assumptions!$C$95+L10*Assumptions!$C$95+L15*Assumptions!$C$95+L16*Assumptions!$C$95</f>
        <v>0</v>
      </c>
      <c r="M18" s="62" t="n">
        <f aca="false">M11*Assumptions!$C$94*Assumptions!$D$67*Assumptions!M$193+M12*Assumptions!$C$94*Assumptions!$D$67*Assumptions!M$193+M13*Assumptions!$C$94*Assumptions!$D$66*Assumptions!M$193+M14*Assumptions!$C$94*Assumptions!$D$66*Assumptions!M$193+M9*Assumptions!$C$95+M10*Assumptions!$C$95+M15*Assumptions!$C$95+M16*Assumptions!$C$95</f>
        <v>5000</v>
      </c>
      <c r="N18" s="62" t="n">
        <f aca="false">N11*Assumptions!$C$94*Assumptions!$D$67*Assumptions!N$193+N12*Assumptions!$C$94*Assumptions!$D$67*Assumptions!N$193+N13*Assumptions!$C$94*Assumptions!$D$66*Assumptions!N$193+N14*Assumptions!$C$94*Assumptions!$D$66*Assumptions!N$193+N9*Assumptions!$C$95+N10*Assumptions!$C$95+N15*Assumptions!$C$95+N16*Assumptions!$C$95</f>
        <v>18260</v>
      </c>
      <c r="O18" s="62" t="n">
        <f aca="false">O11*Assumptions!$C$94*Assumptions!$D$67*Assumptions!O$193+O12*Assumptions!$C$94*Assumptions!$D$67*Assumptions!O$193+O13*Assumptions!$C$94*Assumptions!$D$66*Assumptions!O$193+O14*Assumptions!$C$94*Assumptions!$D$66*Assumptions!O$193+O9*Assumptions!$C$95+O10*Assumptions!$C$95+O15*Assumptions!$C$95+O16*Assumptions!$C$95</f>
        <v>0</v>
      </c>
      <c r="P18" s="62" t="n">
        <f aca="false">P11*Assumptions!$C$94*Assumptions!$D$67*Assumptions!P$193+P12*Assumptions!$C$94*Assumptions!$D$67*Assumptions!P$193+P13*Assumptions!$C$94*Assumptions!$D$66*Assumptions!P$193+P14*Assumptions!$C$94*Assumptions!$D$66*Assumptions!P$193+P9*Assumptions!$C$95+P10*Assumptions!$C$95+P15*Assumptions!$C$95+P16*Assumptions!$C$95</f>
        <v>0</v>
      </c>
      <c r="Q18" s="62" t="n">
        <f aca="false">Q11*Assumptions!$C$94*Assumptions!$D$67*Assumptions!Q$193+Q12*Assumptions!$C$94*Assumptions!$D$67*Assumptions!Q$193+Q13*Assumptions!$C$94*Assumptions!$D$66*Assumptions!Q$193+Q14*Assumptions!$C$94*Assumptions!$D$66*Assumptions!Q$193+Q9*Assumptions!$C$95+Q10*Assumptions!$C$95+Q15*Assumptions!$C$95+Q16*Assumptions!$C$95</f>
        <v>31803.2</v>
      </c>
      <c r="R18" s="62" t="n">
        <f aca="false">R11*Assumptions!$C$94*Assumptions!$D$67*Assumptions!R$193+R12*Assumptions!$C$94*Assumptions!$D$67*Assumptions!R$193+R13*Assumptions!$C$94*Assumptions!$D$66*Assumptions!R$193+R14*Assumptions!$C$94*Assumptions!$D$66*Assumptions!R$193+R9*Assumptions!$C$95+R10*Assumptions!$C$95+R15*Assumptions!$C$95+R16*Assumptions!$C$95</f>
        <v>0</v>
      </c>
      <c r="S18" s="62" t="n">
        <f aca="false">S11*Assumptions!$C$94*Assumptions!$D$67*Assumptions!S$193+S12*Assumptions!$C$94*Assumptions!$D$67*Assumptions!S$193+S13*Assumptions!$C$94*Assumptions!$D$66*Assumptions!S$193+S14*Assumptions!$C$94*Assumptions!$D$66*Assumptions!S$193+S9*Assumptions!$C$95+S10*Assumptions!$C$95+S15*Assumptions!$C$95+S16*Assumptions!$C$95</f>
        <v>0</v>
      </c>
      <c r="T18" s="62" t="n">
        <f aca="false">T11*Assumptions!$C$94*Assumptions!$D$67*Assumptions!T$193+T12*Assumptions!$C$94*Assumptions!$D$67*Assumptions!T$193+T13*Assumptions!$C$94*Assumptions!$D$66*Assumptions!T$193+T14*Assumptions!$C$94*Assumptions!$D$66*Assumptions!T$193+T9*Assumptions!$C$95+T10*Assumptions!$C$95+T15*Assumptions!$C$95+T16*Assumptions!$C$95</f>
        <v>16656.64</v>
      </c>
      <c r="U18" s="62" t="n">
        <f aca="false">U11*Assumptions!$C$94*Assumptions!$D$67*Assumptions!U$193+U12*Assumptions!$C$94*Assumptions!$D$67*Assumptions!U$193+U13*Assumptions!$C$94*Assumptions!$D$66*Assumptions!U$193+U14*Assumptions!$C$94*Assumptions!$D$66*Assumptions!U$193+U9*Assumptions!$C$95+U10*Assumptions!$C$95+U15*Assumptions!$C$95+U16*Assumptions!$C$95</f>
        <v>0</v>
      </c>
      <c r="V18" s="62" t="n">
        <f aca="false">V11*Assumptions!$C$94*Assumptions!$D$67*Assumptions!V$193+V12*Assumptions!$C$94*Assumptions!$D$67*Assumptions!V$193+V13*Assumptions!$C$94*Assumptions!$D$66*Assumptions!V$193+V14*Assumptions!$C$94*Assumptions!$D$66*Assumptions!V$193+V9*Assumptions!$C$95+V10*Assumptions!$C$95+V15*Assumptions!$C$95+V16*Assumptions!$C$95</f>
        <v>0</v>
      </c>
      <c r="W18" s="62" t="n">
        <f aca="false">W11*Assumptions!$C$94*Assumptions!$D$67*Assumptions!W$193+W12*Assumptions!$C$94*Assumptions!$D$67*Assumptions!W$193+W13*Assumptions!$C$94*Assumptions!$D$66*Assumptions!W$193+W14*Assumptions!$C$94*Assumptions!$D$66*Assumptions!W$193+W9*Assumptions!$C$95+W10*Assumptions!$C$95+W15*Assumptions!$C$95+W16*Assumptions!$C$95</f>
        <v>0</v>
      </c>
      <c r="X18" s="62" t="n">
        <f aca="false">X11*Assumptions!$C$94*Assumptions!$D$67*Assumptions!X$193+X12*Assumptions!$C$94*Assumptions!$D$67*Assumptions!X$193+X13*Assumptions!$C$94*Assumptions!$D$66*Assumptions!X$193+X14*Assumptions!$C$94*Assumptions!$D$66*Assumptions!X$193+X9*Assumptions!$C$95+X10*Assumptions!$C$95+X15*Assumptions!$C$95+X16*Assumptions!$C$95</f>
        <v>0</v>
      </c>
      <c r="Y18" s="62" t="n">
        <f aca="false">Y11*Assumptions!$C$94*Assumptions!$D$67*Assumptions!Y$193+Y12*Assumptions!$C$94*Assumptions!$D$67*Assumptions!Y$193+Y13*Assumptions!$C$94*Assumptions!$D$66*Assumptions!Y$193+Y14*Assumptions!$C$94*Assumptions!$D$66*Assumptions!Y$193+Y9*Assumptions!$C$95+Y10*Assumptions!$C$95+Y15*Assumptions!$C$95+Y16*Assumptions!$C$95</f>
        <v>5000</v>
      </c>
      <c r="Z18" s="62" t="n">
        <f aca="false">Z11*Assumptions!$C$94*Assumptions!$D$67*Assumptions!Z$193+Z12*Assumptions!$C$94*Assumptions!$D$67*Assumptions!Z$193+Z13*Assumptions!$C$94*Assumptions!$D$66*Assumptions!Z$193+Z14*Assumptions!$C$94*Assumptions!$D$66*Assumptions!Z$193+Z9*Assumptions!$C$95+Z10*Assumptions!$C$95+Z15*Assumptions!$C$95+Z16*Assumptions!$C$95</f>
        <v>0</v>
      </c>
      <c r="AA18" s="62" t="n">
        <f aca="false">AA11*Assumptions!$C$94*Assumptions!$D$67*Assumptions!AA$193+AA12*Assumptions!$C$94*Assumptions!$D$67*Assumptions!AA$193+AA13*Assumptions!$C$94*Assumptions!$D$66*Assumptions!AA$193+AA14*Assumptions!$C$94*Assumptions!$D$66*Assumptions!AA$193+AA9*Assumptions!$C$95+AA10*Assumptions!$C$95+AA15*Assumptions!$C$95+AA16*Assumptions!$C$95</f>
        <v>0</v>
      </c>
      <c r="AB18" s="62" t="n">
        <f aca="false">AB11*Assumptions!$C$94*Assumptions!$D$67*Assumptions!AB$193+AB12*Assumptions!$C$94*Assumptions!$D$67*Assumptions!AB$193+AB13*Assumptions!$C$94*Assumptions!$D$66*Assumptions!AB$193+AB14*Assumptions!$C$94*Assumptions!$D$66*Assumptions!AB$193+AB9*Assumptions!$C$95+AB10*Assumptions!$C$95+AB15*Assumptions!$C$95+AB16*Assumptions!$C$95</f>
        <v>0</v>
      </c>
    </row>
    <row r="19" customFormat="false" ht="15" hidden="false" customHeight="false" outlineLevel="0" collapsed="false">
      <c r="A19" s="23" t="s">
        <v>1094</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row>
    <row r="20" customFormat="false" ht="15" hidden="false" customHeight="false" outlineLevel="0" collapsed="false">
      <c r="A20" s="29" t="s">
        <v>1095</v>
      </c>
      <c r="B20" s="60" t="s">
        <v>1096</v>
      </c>
      <c r="C20" s="63" t="n">
        <f aca="false">AVERAGE(E20:P20)</f>
        <v>0.75</v>
      </c>
      <c r="D20" s="63" t="n">
        <f aca="false">AVERAGE(Q20:AB20)</f>
        <v>0.85</v>
      </c>
      <c r="E20" s="65" t="n">
        <f aca="false">IF(E$5="A",Assumptions!$C$92,Assumptions!$F$179)</f>
        <v>0.7</v>
      </c>
      <c r="F20" s="65" t="n">
        <f aca="false">IF(F$5="A",Assumptions!$C$92,Assumptions!$F$179)</f>
        <v>0.7</v>
      </c>
      <c r="G20" s="65" t="n">
        <f aca="false">IF(G$5="A",Assumptions!$C$92,Assumptions!$F$179)</f>
        <v>0.7</v>
      </c>
      <c r="H20" s="65" t="n">
        <f aca="false">IF(H$5="A",Assumptions!$C$92,Assumptions!$F$179)</f>
        <v>0.7</v>
      </c>
      <c r="I20" s="65" t="n">
        <f aca="false">IF(I$5="A",Assumptions!$C$92,Assumptions!$F$179)</f>
        <v>0.7</v>
      </c>
      <c r="J20" s="65" t="n">
        <f aca="false">IF(J$5="A",Assumptions!$C$92,Assumptions!$F$179)</f>
        <v>0.7</v>
      </c>
      <c r="K20" s="65" t="n">
        <f aca="false">IF(K$5="A",Assumptions!$C$92,Assumptions!$F$179)</f>
        <v>0.7</v>
      </c>
      <c r="L20" s="65" t="n">
        <f aca="false">IF(L$5="A",Assumptions!$C$92,Assumptions!$F$179)</f>
        <v>0.7</v>
      </c>
      <c r="M20" s="65" t="n">
        <f aca="false">IF(M$5="A",Assumptions!$C$92,Assumptions!$F$179)</f>
        <v>0.85</v>
      </c>
      <c r="N20" s="65" t="n">
        <f aca="false">IF(N$5="A",Assumptions!$C$92,Assumptions!$F$179)</f>
        <v>0.85</v>
      </c>
      <c r="O20" s="65" t="n">
        <f aca="false">IF(O$5="A",Assumptions!$C$92,Assumptions!$F$179)</f>
        <v>0.85</v>
      </c>
      <c r="P20" s="65" t="n">
        <f aca="false">IF(P$5="A",Assumptions!$C$92,Assumptions!$F$179)</f>
        <v>0.85</v>
      </c>
      <c r="Q20" s="65" t="n">
        <f aca="false">IF(Q$5="A",Assumptions!$C$92,Assumptions!$F$179)</f>
        <v>0.85</v>
      </c>
      <c r="R20" s="65" t="n">
        <f aca="false">IF(R$5="A",Assumptions!$C$92,Assumptions!$F$179)</f>
        <v>0.85</v>
      </c>
      <c r="S20" s="65" t="n">
        <f aca="false">IF(S$5="A",Assumptions!$C$92,Assumptions!$F$179)</f>
        <v>0.85</v>
      </c>
      <c r="T20" s="65" t="n">
        <f aca="false">IF(T$5="A",Assumptions!$C$92,Assumptions!$F$179)</f>
        <v>0.85</v>
      </c>
      <c r="U20" s="65" t="n">
        <f aca="false">IF(U$5="A",Assumptions!$C$92,Assumptions!$F$179)</f>
        <v>0.85</v>
      </c>
      <c r="V20" s="65" t="n">
        <f aca="false">IF(V$5="A",Assumptions!$C$92,Assumptions!$F$179)</f>
        <v>0.85</v>
      </c>
      <c r="W20" s="65" t="n">
        <f aca="false">IF(W$5="A",Assumptions!$C$92,Assumptions!$F$179)</f>
        <v>0.85</v>
      </c>
      <c r="X20" s="65" t="n">
        <f aca="false">IF(X$5="A",Assumptions!$C$92,Assumptions!$F$179)</f>
        <v>0.85</v>
      </c>
      <c r="Y20" s="65" t="n">
        <f aca="false">IF(Y$5="A",Assumptions!$C$92,Assumptions!$F$179)</f>
        <v>0.85</v>
      </c>
      <c r="Z20" s="65" t="n">
        <f aca="false">IF(Z$5="A",Assumptions!$C$92,Assumptions!$F$179)</f>
        <v>0.85</v>
      </c>
      <c r="AA20" s="65" t="n">
        <f aca="false">IF(AA$5="A",Assumptions!$C$92,Assumptions!$F$179)</f>
        <v>0.85</v>
      </c>
      <c r="AB20" s="65" t="n">
        <f aca="false">IF(AB$5="A",Assumptions!$C$92,Assumptions!$F$179)</f>
        <v>0.85</v>
      </c>
    </row>
    <row r="21" customFormat="false" ht="15" hidden="false" customHeight="false" outlineLevel="0" collapsed="false">
      <c r="A21" s="29" t="s">
        <v>1097</v>
      </c>
      <c r="B21" s="60" t="s">
        <v>1098</v>
      </c>
      <c r="C21" s="61" t="n">
        <f aca="false">AVERAGE(E21:P21)</f>
        <v>17083.3333333333</v>
      </c>
      <c r="D21" s="61" t="n">
        <f aca="false">AVERAGE(Q21:AB21)</f>
        <v>17766.6666666667</v>
      </c>
      <c r="E21" s="62" t="n">
        <f aca="false">Assumptions!$D$64/12*Assumptions!E$193</f>
        <v>17083.3333333333</v>
      </c>
      <c r="F21" s="62" t="n">
        <f aca="false">Assumptions!$D$64/12*Assumptions!F$193</f>
        <v>17083.3333333333</v>
      </c>
      <c r="G21" s="62" t="n">
        <f aca="false">Assumptions!$D$64/12*Assumptions!G$193</f>
        <v>17083.3333333333</v>
      </c>
      <c r="H21" s="62" t="n">
        <f aca="false">Assumptions!$D$64/12*Assumptions!H$193</f>
        <v>17083.3333333333</v>
      </c>
      <c r="I21" s="62" t="n">
        <f aca="false">Assumptions!$D$64/12*Assumptions!I$193</f>
        <v>17083.3333333333</v>
      </c>
      <c r="J21" s="62" t="n">
        <f aca="false">Assumptions!$D$64/12*Assumptions!J$193</f>
        <v>17083.3333333333</v>
      </c>
      <c r="K21" s="62" t="n">
        <f aca="false">Assumptions!$D$64/12*Assumptions!K$193</f>
        <v>17083.3333333333</v>
      </c>
      <c r="L21" s="62" t="n">
        <f aca="false">Assumptions!$D$64/12*Assumptions!L$193</f>
        <v>17083.3333333333</v>
      </c>
      <c r="M21" s="62" t="n">
        <f aca="false">Assumptions!$D$64/12*Assumptions!M$193</f>
        <v>17083.3333333333</v>
      </c>
      <c r="N21" s="62" t="n">
        <f aca="false">Assumptions!$D$64/12*Assumptions!N$193</f>
        <v>17083.3333333333</v>
      </c>
      <c r="O21" s="62" t="n">
        <f aca="false">Assumptions!$D$64/12*Assumptions!O$193</f>
        <v>17083.3333333333</v>
      </c>
      <c r="P21" s="62" t="n">
        <f aca="false">Assumptions!$D$64/12*Assumptions!P$193</f>
        <v>17083.3333333333</v>
      </c>
      <c r="Q21" s="62" t="n">
        <f aca="false">Assumptions!$D$64/12*Assumptions!Q$193</f>
        <v>17766.6666666667</v>
      </c>
      <c r="R21" s="62" t="n">
        <f aca="false">Assumptions!$D$64/12*Assumptions!R$193</f>
        <v>17766.6666666667</v>
      </c>
      <c r="S21" s="62" t="n">
        <f aca="false">Assumptions!$D$64/12*Assumptions!S$193</f>
        <v>17766.6666666667</v>
      </c>
      <c r="T21" s="62" t="n">
        <f aca="false">Assumptions!$D$64/12*Assumptions!T$193</f>
        <v>17766.6666666667</v>
      </c>
      <c r="U21" s="62" t="n">
        <f aca="false">Assumptions!$D$64/12*Assumptions!U$193</f>
        <v>17766.6666666667</v>
      </c>
      <c r="V21" s="62" t="n">
        <f aca="false">Assumptions!$D$64/12*Assumptions!V$193</f>
        <v>17766.6666666667</v>
      </c>
      <c r="W21" s="62" t="n">
        <f aca="false">Assumptions!$D$64/12*Assumptions!W$193</f>
        <v>17766.6666666667</v>
      </c>
      <c r="X21" s="62" t="n">
        <f aca="false">Assumptions!$D$64/12*Assumptions!X$193</f>
        <v>17766.6666666667</v>
      </c>
      <c r="Y21" s="62" t="n">
        <f aca="false">Assumptions!$D$64/12*Assumptions!Y$193</f>
        <v>17766.6666666667</v>
      </c>
      <c r="Z21" s="62" t="n">
        <f aca="false">Assumptions!$D$64/12*Assumptions!Z$193</f>
        <v>17766.6666666667</v>
      </c>
      <c r="AA21" s="62" t="n">
        <f aca="false">Assumptions!$D$64/12*Assumptions!AA$193</f>
        <v>17766.6666666667</v>
      </c>
      <c r="AB21" s="62" t="n">
        <f aca="false">Assumptions!$D$64/12*Assumptions!AB$193</f>
        <v>17766.6666666667</v>
      </c>
    </row>
    <row r="22" customFormat="false" ht="15" hidden="false" customHeight="false" outlineLevel="0" collapsed="false">
      <c r="A22" s="29" t="s">
        <v>1099</v>
      </c>
      <c r="B22" s="60" t="s">
        <v>1100</v>
      </c>
      <c r="C22" s="111" t="n">
        <f aca="false">AVERAGE(E22:P22)</f>
        <v>1557.08375</v>
      </c>
      <c r="D22" s="111" t="n">
        <f aca="false">AVERAGE(Q22:AB22)</f>
        <v>1661.1075</v>
      </c>
      <c r="E22" s="116" t="n">
        <f aca="false">Assumptions!$C$56*MIN(E21,Assumptions!E$201)+Assumptions!$C$57*MIN(E21,Assumptions!E$202)</f>
        <v>1557.08375</v>
      </c>
      <c r="F22" s="116" t="n">
        <f aca="false">Assumptions!$C$56*MIN(F21,Assumptions!F$201)+Assumptions!$C$57*MIN(F21,Assumptions!F$202)</f>
        <v>1557.08375</v>
      </c>
      <c r="G22" s="116" t="n">
        <f aca="false">Assumptions!$C$56*MIN(G21,Assumptions!G$201)+Assumptions!$C$57*MIN(G21,Assumptions!G$202)</f>
        <v>1557.08375</v>
      </c>
      <c r="H22" s="116" t="n">
        <f aca="false">Assumptions!$C$56*MIN(H21,Assumptions!H$201)+Assumptions!$C$57*MIN(H21,Assumptions!H$202)</f>
        <v>1557.08375</v>
      </c>
      <c r="I22" s="116" t="n">
        <f aca="false">Assumptions!$C$56*MIN(I21,Assumptions!I$201)+Assumptions!$C$57*MIN(I21,Assumptions!I$202)</f>
        <v>1557.08375</v>
      </c>
      <c r="J22" s="116" t="n">
        <f aca="false">Assumptions!$C$56*MIN(J21,Assumptions!J$201)+Assumptions!$C$57*MIN(J21,Assumptions!J$202)</f>
        <v>1557.08375</v>
      </c>
      <c r="K22" s="116" t="n">
        <f aca="false">Assumptions!$C$56*MIN(K21,Assumptions!K$201)+Assumptions!$C$57*MIN(K21,Assumptions!K$202)</f>
        <v>1557.08375</v>
      </c>
      <c r="L22" s="116" t="n">
        <f aca="false">Assumptions!$C$56*MIN(L21,Assumptions!L$201)+Assumptions!$C$57*MIN(L21,Assumptions!L$202)</f>
        <v>1557.08375</v>
      </c>
      <c r="M22" s="116" t="n">
        <f aca="false">Assumptions!$C$56*MIN(M21,Assumptions!M$201)+Assumptions!$C$57*MIN(M21,Assumptions!M$202)</f>
        <v>1557.08375</v>
      </c>
      <c r="N22" s="116" t="n">
        <f aca="false">Assumptions!$C$56*MIN(N21,Assumptions!N$201)+Assumptions!$C$57*MIN(N21,Assumptions!N$202)</f>
        <v>1557.08375</v>
      </c>
      <c r="O22" s="116" t="n">
        <f aca="false">Assumptions!$C$56*MIN(O21,Assumptions!O$201)+Assumptions!$C$57*MIN(O21,Assumptions!O$202)</f>
        <v>1557.08375</v>
      </c>
      <c r="P22" s="116" t="n">
        <f aca="false">Assumptions!$C$56*MIN(P21,Assumptions!P$201)+Assumptions!$C$57*MIN(P21,Assumptions!P$202)</f>
        <v>1557.08375</v>
      </c>
      <c r="Q22" s="116" t="n">
        <f aca="false">Assumptions!$C$56*MIN(Q21,Assumptions!Q$201)+Assumptions!$C$57*MIN(Q21,Assumptions!Q$202)</f>
        <v>1661.1075</v>
      </c>
      <c r="R22" s="116" t="n">
        <f aca="false">Assumptions!$C$56*MIN(R21,Assumptions!R$201)+Assumptions!$C$57*MIN(R21,Assumptions!R$202)</f>
        <v>1661.1075</v>
      </c>
      <c r="S22" s="116" t="n">
        <f aca="false">Assumptions!$C$56*MIN(S21,Assumptions!S$201)+Assumptions!$C$57*MIN(S21,Assumptions!S$202)</f>
        <v>1661.1075</v>
      </c>
      <c r="T22" s="116" t="n">
        <f aca="false">Assumptions!$C$56*MIN(T21,Assumptions!T$201)+Assumptions!$C$57*MIN(T21,Assumptions!T$202)</f>
        <v>1661.1075</v>
      </c>
      <c r="U22" s="116" t="n">
        <f aca="false">Assumptions!$C$56*MIN(U21,Assumptions!U$201)+Assumptions!$C$57*MIN(U21,Assumptions!U$202)</f>
        <v>1661.1075</v>
      </c>
      <c r="V22" s="116" t="n">
        <f aca="false">Assumptions!$C$56*MIN(V21,Assumptions!V$201)+Assumptions!$C$57*MIN(V21,Assumptions!V$202)</f>
        <v>1661.1075</v>
      </c>
      <c r="W22" s="116" t="n">
        <f aca="false">Assumptions!$C$56*MIN(W21,Assumptions!W$201)+Assumptions!$C$57*MIN(W21,Assumptions!W$202)</f>
        <v>1661.1075</v>
      </c>
      <c r="X22" s="116" t="n">
        <f aca="false">Assumptions!$C$56*MIN(X21,Assumptions!X$201)+Assumptions!$C$57*MIN(X21,Assumptions!X$202)</f>
        <v>1661.1075</v>
      </c>
      <c r="Y22" s="116" t="n">
        <f aca="false">Assumptions!$C$56*MIN(Y21,Assumptions!Y$201)+Assumptions!$C$57*MIN(Y21,Assumptions!Y$202)</f>
        <v>1661.1075</v>
      </c>
      <c r="Z22" s="116" t="n">
        <f aca="false">Assumptions!$C$56*MIN(Z21,Assumptions!Z$201)+Assumptions!$C$57*MIN(Z21,Assumptions!Z$202)</f>
        <v>1661.1075</v>
      </c>
      <c r="AA22" s="116" t="n">
        <f aca="false">Assumptions!$C$56*MIN(AA21,Assumptions!AA$201)+Assumptions!$C$57*MIN(AA21,Assumptions!AA$202)</f>
        <v>1661.1075</v>
      </c>
      <c r="AB22" s="116" t="n">
        <f aca="false">Assumptions!$C$56*MIN(AB21,Assumptions!AB$201)+Assumptions!$C$57*MIN(AB21,Assumptions!AB$202)</f>
        <v>1661.1075</v>
      </c>
    </row>
    <row r="23" customFormat="false" ht="15" hidden="false" customHeight="false" outlineLevel="0" collapsed="false">
      <c r="A23" s="29" t="s">
        <v>1101</v>
      </c>
      <c r="B23" s="60" t="s">
        <v>1100</v>
      </c>
      <c r="C23" s="111" t="n">
        <f aca="false">AVERAGE(E23:P23)</f>
        <v>1522.86875</v>
      </c>
      <c r="D23" s="111" t="n">
        <f aca="false">AVERAGE(Q23:AB23)</f>
        <v>1625.9625</v>
      </c>
      <c r="E23" s="116" t="n">
        <f aca="false">Assumptions!$C$58*MIN(E21,Assumptions!E$201)+Assumptions!$C$59*MIN(E21,Assumptions!E$202)</f>
        <v>1522.86875</v>
      </c>
      <c r="F23" s="116" t="n">
        <f aca="false">Assumptions!$C$58*MIN(F21,Assumptions!F$201)+Assumptions!$C$59*MIN(F21,Assumptions!F$202)</f>
        <v>1522.86875</v>
      </c>
      <c r="G23" s="116" t="n">
        <f aca="false">Assumptions!$C$58*MIN(G21,Assumptions!G$201)+Assumptions!$C$59*MIN(G21,Assumptions!G$202)</f>
        <v>1522.86875</v>
      </c>
      <c r="H23" s="116" t="n">
        <f aca="false">Assumptions!$C$58*MIN(H21,Assumptions!H$201)+Assumptions!$C$59*MIN(H21,Assumptions!H$202)</f>
        <v>1522.86875</v>
      </c>
      <c r="I23" s="116" t="n">
        <f aca="false">Assumptions!$C$58*MIN(I21,Assumptions!I$201)+Assumptions!$C$59*MIN(I21,Assumptions!I$202)</f>
        <v>1522.86875</v>
      </c>
      <c r="J23" s="116" t="n">
        <f aca="false">Assumptions!$C$58*MIN(J21,Assumptions!J$201)+Assumptions!$C$59*MIN(J21,Assumptions!J$202)</f>
        <v>1522.86875</v>
      </c>
      <c r="K23" s="116" t="n">
        <f aca="false">Assumptions!$C$58*MIN(K21,Assumptions!K$201)+Assumptions!$C$59*MIN(K21,Assumptions!K$202)</f>
        <v>1522.86875</v>
      </c>
      <c r="L23" s="116" t="n">
        <f aca="false">Assumptions!$C$58*MIN(L21,Assumptions!L$201)+Assumptions!$C$59*MIN(L21,Assumptions!L$202)</f>
        <v>1522.86875</v>
      </c>
      <c r="M23" s="116" t="n">
        <f aca="false">Assumptions!$C$58*MIN(M21,Assumptions!M$201)+Assumptions!$C$59*MIN(M21,Assumptions!M$202)</f>
        <v>1522.86875</v>
      </c>
      <c r="N23" s="116" t="n">
        <f aca="false">Assumptions!$C$58*MIN(N21,Assumptions!N$201)+Assumptions!$C$59*MIN(N21,Assumptions!N$202)</f>
        <v>1522.86875</v>
      </c>
      <c r="O23" s="116" t="n">
        <f aca="false">Assumptions!$C$58*MIN(O21,Assumptions!O$201)+Assumptions!$C$59*MIN(O21,Assumptions!O$202)</f>
        <v>1522.86875</v>
      </c>
      <c r="P23" s="116" t="n">
        <f aca="false">Assumptions!$C$58*MIN(P21,Assumptions!P$201)+Assumptions!$C$59*MIN(P21,Assumptions!P$202)</f>
        <v>1522.86875</v>
      </c>
      <c r="Q23" s="116" t="n">
        <f aca="false">Assumptions!$C$58*MIN(Q21,Assumptions!Q$201)+Assumptions!$C$59*MIN(Q21,Assumptions!Q$202)</f>
        <v>1625.9625</v>
      </c>
      <c r="R23" s="116" t="n">
        <f aca="false">Assumptions!$C$58*MIN(R21,Assumptions!R$201)+Assumptions!$C$59*MIN(R21,Assumptions!R$202)</f>
        <v>1625.9625</v>
      </c>
      <c r="S23" s="116" t="n">
        <f aca="false">Assumptions!$C$58*MIN(S21,Assumptions!S$201)+Assumptions!$C$59*MIN(S21,Assumptions!S$202)</f>
        <v>1625.9625</v>
      </c>
      <c r="T23" s="116" t="n">
        <f aca="false">Assumptions!$C$58*MIN(T21,Assumptions!T$201)+Assumptions!$C$59*MIN(T21,Assumptions!T$202)</f>
        <v>1625.9625</v>
      </c>
      <c r="U23" s="116" t="n">
        <f aca="false">Assumptions!$C$58*MIN(U21,Assumptions!U$201)+Assumptions!$C$59*MIN(U21,Assumptions!U$202)</f>
        <v>1625.9625</v>
      </c>
      <c r="V23" s="116" t="n">
        <f aca="false">Assumptions!$C$58*MIN(V21,Assumptions!V$201)+Assumptions!$C$59*MIN(V21,Assumptions!V$202)</f>
        <v>1625.9625</v>
      </c>
      <c r="W23" s="116" t="n">
        <f aca="false">Assumptions!$C$58*MIN(W21,Assumptions!W$201)+Assumptions!$C$59*MIN(W21,Assumptions!W$202)</f>
        <v>1625.9625</v>
      </c>
      <c r="X23" s="116" t="n">
        <f aca="false">Assumptions!$C$58*MIN(X21,Assumptions!X$201)+Assumptions!$C$59*MIN(X21,Assumptions!X$202)</f>
        <v>1625.9625</v>
      </c>
      <c r="Y23" s="116" t="n">
        <f aca="false">Assumptions!$C$58*MIN(Y21,Assumptions!Y$201)+Assumptions!$C$59*MIN(Y21,Assumptions!Y$202)</f>
        <v>1625.9625</v>
      </c>
      <c r="Z23" s="116" t="n">
        <f aca="false">Assumptions!$C$58*MIN(Z21,Assumptions!Z$201)+Assumptions!$C$59*MIN(Z21,Assumptions!Z$202)</f>
        <v>1625.9625</v>
      </c>
      <c r="AA23" s="116" t="n">
        <f aca="false">Assumptions!$C$58*MIN(AA21,Assumptions!AA$201)+Assumptions!$C$59*MIN(AA21,Assumptions!AA$202)</f>
        <v>1625.9625</v>
      </c>
      <c r="AB23" s="116" t="n">
        <f aca="false">Assumptions!$C$58*MIN(AB21,Assumptions!AB$201)+Assumptions!$C$59*MIN(AB21,Assumptions!AB$202)</f>
        <v>1625.9625</v>
      </c>
    </row>
    <row r="24" customFormat="false" ht="15" hidden="false" customHeight="false" outlineLevel="0" collapsed="false">
      <c r="A24" s="29" t="s">
        <v>1102</v>
      </c>
      <c r="B24" s="60" t="s">
        <v>1098</v>
      </c>
      <c r="C24" s="61" t="n">
        <f aca="false">AVERAGE(E24:P24)</f>
        <v>12666.6666666667</v>
      </c>
      <c r="D24" s="61" t="n">
        <f aca="false">AVERAGE(Q24:AB24)</f>
        <v>13173.3333333333</v>
      </c>
      <c r="E24" s="62" t="n">
        <f aca="false">Assumptions!$D$65/12*Assumptions!E$193</f>
        <v>12666.6666666667</v>
      </c>
      <c r="F24" s="62" t="n">
        <f aca="false">Assumptions!$D$65/12*Assumptions!F$193</f>
        <v>12666.6666666667</v>
      </c>
      <c r="G24" s="62" t="n">
        <f aca="false">Assumptions!$D$65/12*Assumptions!G$193</f>
        <v>12666.6666666667</v>
      </c>
      <c r="H24" s="62" t="n">
        <f aca="false">Assumptions!$D$65/12*Assumptions!H$193</f>
        <v>12666.6666666667</v>
      </c>
      <c r="I24" s="62" t="n">
        <f aca="false">Assumptions!$D$65/12*Assumptions!I$193</f>
        <v>12666.6666666667</v>
      </c>
      <c r="J24" s="62" t="n">
        <f aca="false">Assumptions!$D$65/12*Assumptions!J$193</f>
        <v>12666.6666666667</v>
      </c>
      <c r="K24" s="62" t="n">
        <f aca="false">Assumptions!$D$65/12*Assumptions!K$193</f>
        <v>12666.6666666667</v>
      </c>
      <c r="L24" s="62" t="n">
        <f aca="false">Assumptions!$D$65/12*Assumptions!L$193</f>
        <v>12666.6666666667</v>
      </c>
      <c r="M24" s="62" t="n">
        <f aca="false">Assumptions!$D$65/12*Assumptions!M$193</f>
        <v>12666.6666666667</v>
      </c>
      <c r="N24" s="62" t="n">
        <f aca="false">Assumptions!$D$65/12*Assumptions!N$193</f>
        <v>12666.6666666667</v>
      </c>
      <c r="O24" s="62" t="n">
        <f aca="false">Assumptions!$D$65/12*Assumptions!O$193</f>
        <v>12666.6666666667</v>
      </c>
      <c r="P24" s="62" t="n">
        <f aca="false">Assumptions!$D$65/12*Assumptions!P$193</f>
        <v>12666.6666666667</v>
      </c>
      <c r="Q24" s="62" t="n">
        <f aca="false">Assumptions!$D$65/12*Assumptions!Q$193</f>
        <v>13173.3333333333</v>
      </c>
      <c r="R24" s="62" t="n">
        <f aca="false">Assumptions!$D$65/12*Assumptions!R$193</f>
        <v>13173.3333333333</v>
      </c>
      <c r="S24" s="62" t="n">
        <f aca="false">Assumptions!$D$65/12*Assumptions!S$193</f>
        <v>13173.3333333333</v>
      </c>
      <c r="T24" s="62" t="n">
        <f aca="false">Assumptions!$D$65/12*Assumptions!T$193</f>
        <v>13173.3333333333</v>
      </c>
      <c r="U24" s="62" t="n">
        <f aca="false">Assumptions!$D$65/12*Assumptions!U$193</f>
        <v>13173.3333333333</v>
      </c>
      <c r="V24" s="62" t="n">
        <f aca="false">Assumptions!$D$65/12*Assumptions!V$193</f>
        <v>13173.3333333333</v>
      </c>
      <c r="W24" s="62" t="n">
        <f aca="false">Assumptions!$D$65/12*Assumptions!W$193</f>
        <v>13173.3333333333</v>
      </c>
      <c r="X24" s="62" t="n">
        <f aca="false">Assumptions!$D$65/12*Assumptions!X$193</f>
        <v>13173.3333333333</v>
      </c>
      <c r="Y24" s="62" t="n">
        <f aca="false">Assumptions!$D$65/12*Assumptions!Y$193</f>
        <v>13173.3333333333</v>
      </c>
      <c r="Z24" s="62" t="n">
        <f aca="false">Assumptions!$D$65/12*Assumptions!Z$193</f>
        <v>13173.3333333333</v>
      </c>
      <c r="AA24" s="62" t="n">
        <f aca="false">Assumptions!$D$65/12*Assumptions!AA$193</f>
        <v>13173.3333333333</v>
      </c>
      <c r="AB24" s="62" t="n">
        <f aca="false">Assumptions!$D$65/12*Assumptions!AB$193</f>
        <v>13173.3333333333</v>
      </c>
    </row>
    <row r="25" customFormat="false" ht="15" hidden="false" customHeight="false" outlineLevel="0" collapsed="false">
      <c r="A25" s="29" t="s">
        <v>1103</v>
      </c>
      <c r="B25" s="60" t="s">
        <v>1100</v>
      </c>
      <c r="C25" s="111" t="n">
        <f aca="false">AVERAGE(E25:P25)</f>
        <v>1557.08375</v>
      </c>
      <c r="D25" s="111" t="n">
        <f aca="false">AVERAGE(Q25:AB25)</f>
        <v>1661.1075</v>
      </c>
      <c r="E25" s="116" t="n">
        <f aca="false">Assumptions!$C$56*MIN(E24,Assumptions!E$201)+Assumptions!$C$57*MIN(E24,Assumptions!E$202)</f>
        <v>1557.08375</v>
      </c>
      <c r="F25" s="116" t="n">
        <f aca="false">Assumptions!$C$56*MIN(F24,Assumptions!F$201)+Assumptions!$C$57*MIN(F24,Assumptions!F$202)</f>
        <v>1557.08375</v>
      </c>
      <c r="G25" s="116" t="n">
        <f aca="false">Assumptions!$C$56*MIN(G24,Assumptions!G$201)+Assumptions!$C$57*MIN(G24,Assumptions!G$202)</f>
        <v>1557.08375</v>
      </c>
      <c r="H25" s="116" t="n">
        <f aca="false">Assumptions!$C$56*MIN(H24,Assumptions!H$201)+Assumptions!$C$57*MIN(H24,Assumptions!H$202)</f>
        <v>1557.08375</v>
      </c>
      <c r="I25" s="116" t="n">
        <f aca="false">Assumptions!$C$56*MIN(I24,Assumptions!I$201)+Assumptions!$C$57*MIN(I24,Assumptions!I$202)</f>
        <v>1557.08375</v>
      </c>
      <c r="J25" s="116" t="n">
        <f aca="false">Assumptions!$C$56*MIN(J24,Assumptions!J$201)+Assumptions!$C$57*MIN(J24,Assumptions!J$202)</f>
        <v>1557.08375</v>
      </c>
      <c r="K25" s="116" t="n">
        <f aca="false">Assumptions!$C$56*MIN(K24,Assumptions!K$201)+Assumptions!$C$57*MIN(K24,Assumptions!K$202)</f>
        <v>1557.08375</v>
      </c>
      <c r="L25" s="116" t="n">
        <f aca="false">Assumptions!$C$56*MIN(L24,Assumptions!L$201)+Assumptions!$C$57*MIN(L24,Assumptions!L$202)</f>
        <v>1557.08375</v>
      </c>
      <c r="M25" s="116" t="n">
        <f aca="false">Assumptions!$C$56*MIN(M24,Assumptions!M$201)+Assumptions!$C$57*MIN(M24,Assumptions!M$202)</f>
        <v>1557.08375</v>
      </c>
      <c r="N25" s="116" t="n">
        <f aca="false">Assumptions!$C$56*MIN(N24,Assumptions!N$201)+Assumptions!$C$57*MIN(N24,Assumptions!N$202)</f>
        <v>1557.08375</v>
      </c>
      <c r="O25" s="116" t="n">
        <f aca="false">Assumptions!$C$56*MIN(O24,Assumptions!O$201)+Assumptions!$C$57*MIN(O24,Assumptions!O$202)</f>
        <v>1557.08375</v>
      </c>
      <c r="P25" s="116" t="n">
        <f aca="false">Assumptions!$C$56*MIN(P24,Assumptions!P$201)+Assumptions!$C$57*MIN(P24,Assumptions!P$202)</f>
        <v>1557.08375</v>
      </c>
      <c r="Q25" s="116" t="n">
        <f aca="false">Assumptions!$C$56*MIN(Q24,Assumptions!Q$201)+Assumptions!$C$57*MIN(Q24,Assumptions!Q$202)</f>
        <v>1661.1075</v>
      </c>
      <c r="R25" s="116" t="n">
        <f aca="false">Assumptions!$C$56*MIN(R24,Assumptions!R$201)+Assumptions!$C$57*MIN(R24,Assumptions!R$202)</f>
        <v>1661.1075</v>
      </c>
      <c r="S25" s="116" t="n">
        <f aca="false">Assumptions!$C$56*MIN(S24,Assumptions!S$201)+Assumptions!$C$57*MIN(S24,Assumptions!S$202)</f>
        <v>1661.1075</v>
      </c>
      <c r="T25" s="116" t="n">
        <f aca="false">Assumptions!$C$56*MIN(T24,Assumptions!T$201)+Assumptions!$C$57*MIN(T24,Assumptions!T$202)</f>
        <v>1661.1075</v>
      </c>
      <c r="U25" s="116" t="n">
        <f aca="false">Assumptions!$C$56*MIN(U24,Assumptions!U$201)+Assumptions!$C$57*MIN(U24,Assumptions!U$202)</f>
        <v>1661.1075</v>
      </c>
      <c r="V25" s="116" t="n">
        <f aca="false">Assumptions!$C$56*MIN(V24,Assumptions!V$201)+Assumptions!$C$57*MIN(V24,Assumptions!V$202)</f>
        <v>1661.1075</v>
      </c>
      <c r="W25" s="116" t="n">
        <f aca="false">Assumptions!$C$56*MIN(W24,Assumptions!W$201)+Assumptions!$C$57*MIN(W24,Assumptions!W$202)</f>
        <v>1661.1075</v>
      </c>
      <c r="X25" s="116" t="n">
        <f aca="false">Assumptions!$C$56*MIN(X24,Assumptions!X$201)+Assumptions!$C$57*MIN(X24,Assumptions!X$202)</f>
        <v>1661.1075</v>
      </c>
      <c r="Y25" s="116" t="n">
        <f aca="false">Assumptions!$C$56*MIN(Y24,Assumptions!Y$201)+Assumptions!$C$57*MIN(Y24,Assumptions!Y$202)</f>
        <v>1661.1075</v>
      </c>
      <c r="Z25" s="116" t="n">
        <f aca="false">Assumptions!$C$56*MIN(Z24,Assumptions!Z$201)+Assumptions!$C$57*MIN(Z24,Assumptions!Z$202)</f>
        <v>1661.1075</v>
      </c>
      <c r="AA25" s="116" t="n">
        <f aca="false">Assumptions!$C$56*MIN(AA24,Assumptions!AA$201)+Assumptions!$C$57*MIN(AA24,Assumptions!AA$202)</f>
        <v>1661.1075</v>
      </c>
      <c r="AB25" s="116" t="n">
        <f aca="false">Assumptions!$C$56*MIN(AB24,Assumptions!AB$201)+Assumptions!$C$57*MIN(AB24,Assumptions!AB$202)</f>
        <v>1661.1075</v>
      </c>
    </row>
    <row r="26" customFormat="false" ht="15" hidden="false" customHeight="false" outlineLevel="0" collapsed="false">
      <c r="A26" s="29" t="s">
        <v>1104</v>
      </c>
      <c r="B26" s="60" t="s">
        <v>1100</v>
      </c>
      <c r="C26" s="111" t="n">
        <f aca="false">AVERAGE(E26:P26)</f>
        <v>1522.86875</v>
      </c>
      <c r="D26" s="111" t="n">
        <f aca="false">AVERAGE(Q26:AB26)</f>
        <v>1625.9625</v>
      </c>
      <c r="E26" s="116" t="n">
        <f aca="false">Assumptions!$C$58*MIN(E24,Assumptions!E$201)+Assumptions!$C$59*MIN(E24,Assumptions!E$202)</f>
        <v>1522.86875</v>
      </c>
      <c r="F26" s="116" t="n">
        <f aca="false">Assumptions!$C$58*MIN(F24,Assumptions!F$201)+Assumptions!$C$59*MIN(F24,Assumptions!F$202)</f>
        <v>1522.86875</v>
      </c>
      <c r="G26" s="116" t="n">
        <f aca="false">Assumptions!$C$58*MIN(G24,Assumptions!G$201)+Assumptions!$C$59*MIN(G24,Assumptions!G$202)</f>
        <v>1522.86875</v>
      </c>
      <c r="H26" s="116" t="n">
        <f aca="false">Assumptions!$C$58*MIN(H24,Assumptions!H$201)+Assumptions!$C$59*MIN(H24,Assumptions!H$202)</f>
        <v>1522.86875</v>
      </c>
      <c r="I26" s="116" t="n">
        <f aca="false">Assumptions!$C$58*MIN(I24,Assumptions!I$201)+Assumptions!$C$59*MIN(I24,Assumptions!I$202)</f>
        <v>1522.86875</v>
      </c>
      <c r="J26" s="116" t="n">
        <f aca="false">Assumptions!$C$58*MIN(J24,Assumptions!J$201)+Assumptions!$C$59*MIN(J24,Assumptions!J$202)</f>
        <v>1522.86875</v>
      </c>
      <c r="K26" s="116" t="n">
        <f aca="false">Assumptions!$C$58*MIN(K24,Assumptions!K$201)+Assumptions!$C$59*MIN(K24,Assumptions!K$202)</f>
        <v>1522.86875</v>
      </c>
      <c r="L26" s="116" t="n">
        <f aca="false">Assumptions!$C$58*MIN(L24,Assumptions!L$201)+Assumptions!$C$59*MIN(L24,Assumptions!L$202)</f>
        <v>1522.86875</v>
      </c>
      <c r="M26" s="116" t="n">
        <f aca="false">Assumptions!$C$58*MIN(M24,Assumptions!M$201)+Assumptions!$C$59*MIN(M24,Assumptions!M$202)</f>
        <v>1522.86875</v>
      </c>
      <c r="N26" s="116" t="n">
        <f aca="false">Assumptions!$C$58*MIN(N24,Assumptions!N$201)+Assumptions!$C$59*MIN(N24,Assumptions!N$202)</f>
        <v>1522.86875</v>
      </c>
      <c r="O26" s="116" t="n">
        <f aca="false">Assumptions!$C$58*MIN(O24,Assumptions!O$201)+Assumptions!$C$59*MIN(O24,Assumptions!O$202)</f>
        <v>1522.86875</v>
      </c>
      <c r="P26" s="116" t="n">
        <f aca="false">Assumptions!$C$58*MIN(P24,Assumptions!P$201)+Assumptions!$C$59*MIN(P24,Assumptions!P$202)</f>
        <v>1522.86875</v>
      </c>
      <c r="Q26" s="116" t="n">
        <f aca="false">Assumptions!$C$58*MIN(Q24,Assumptions!Q$201)+Assumptions!$C$59*MIN(Q24,Assumptions!Q$202)</f>
        <v>1625.9625</v>
      </c>
      <c r="R26" s="116" t="n">
        <f aca="false">Assumptions!$C$58*MIN(R24,Assumptions!R$201)+Assumptions!$C$59*MIN(R24,Assumptions!R$202)</f>
        <v>1625.9625</v>
      </c>
      <c r="S26" s="116" t="n">
        <f aca="false">Assumptions!$C$58*MIN(S24,Assumptions!S$201)+Assumptions!$C$59*MIN(S24,Assumptions!S$202)</f>
        <v>1625.9625</v>
      </c>
      <c r="T26" s="116" t="n">
        <f aca="false">Assumptions!$C$58*MIN(T24,Assumptions!T$201)+Assumptions!$C$59*MIN(T24,Assumptions!T$202)</f>
        <v>1625.9625</v>
      </c>
      <c r="U26" s="116" t="n">
        <f aca="false">Assumptions!$C$58*MIN(U24,Assumptions!U$201)+Assumptions!$C$59*MIN(U24,Assumptions!U$202)</f>
        <v>1625.9625</v>
      </c>
      <c r="V26" s="116" t="n">
        <f aca="false">Assumptions!$C$58*MIN(V24,Assumptions!V$201)+Assumptions!$C$59*MIN(V24,Assumptions!V$202)</f>
        <v>1625.9625</v>
      </c>
      <c r="W26" s="116" t="n">
        <f aca="false">Assumptions!$C$58*MIN(W24,Assumptions!W$201)+Assumptions!$C$59*MIN(W24,Assumptions!W$202)</f>
        <v>1625.9625</v>
      </c>
      <c r="X26" s="116" t="n">
        <f aca="false">Assumptions!$C$58*MIN(X24,Assumptions!X$201)+Assumptions!$C$59*MIN(X24,Assumptions!X$202)</f>
        <v>1625.9625</v>
      </c>
      <c r="Y26" s="116" t="n">
        <f aca="false">Assumptions!$C$58*MIN(Y24,Assumptions!Y$201)+Assumptions!$C$59*MIN(Y24,Assumptions!Y$202)</f>
        <v>1625.9625</v>
      </c>
      <c r="Z26" s="116" t="n">
        <f aca="false">Assumptions!$C$58*MIN(Z24,Assumptions!Z$201)+Assumptions!$C$59*MIN(Z24,Assumptions!Z$202)</f>
        <v>1625.9625</v>
      </c>
      <c r="AA26" s="116" t="n">
        <f aca="false">Assumptions!$C$58*MIN(AA24,Assumptions!AA$201)+Assumptions!$C$59*MIN(AA24,Assumptions!AA$202)</f>
        <v>1625.9625</v>
      </c>
      <c r="AB26" s="116" t="n">
        <f aca="false">Assumptions!$C$58*MIN(AB24,Assumptions!AB$201)+Assumptions!$C$59*MIN(AB24,Assumptions!AB$202)</f>
        <v>1625.9625</v>
      </c>
    </row>
    <row r="27" customFormat="false" ht="15" hidden="false" customHeight="false" outlineLevel="0" collapsed="false">
      <c r="A27" s="29" t="s">
        <v>1105</v>
      </c>
      <c r="B27" s="60" t="s">
        <v>1098</v>
      </c>
      <c r="C27" s="61" t="n">
        <f aca="false">AVERAGE(E27:P27)</f>
        <v>9333.33333333333</v>
      </c>
      <c r="D27" s="61" t="n">
        <f aca="false">AVERAGE(Q27:AB27)</f>
        <v>9706.66666666667</v>
      </c>
      <c r="E27" s="62" t="n">
        <f aca="false">Assumptions!$D$66/12*Assumptions!E$193</f>
        <v>9333.33333333333</v>
      </c>
      <c r="F27" s="62" t="n">
        <f aca="false">Assumptions!$D$66/12*Assumptions!F$193</f>
        <v>9333.33333333333</v>
      </c>
      <c r="G27" s="62" t="n">
        <f aca="false">Assumptions!$D$66/12*Assumptions!G$193</f>
        <v>9333.33333333333</v>
      </c>
      <c r="H27" s="62" t="n">
        <f aca="false">Assumptions!$D$66/12*Assumptions!H$193</f>
        <v>9333.33333333333</v>
      </c>
      <c r="I27" s="62" t="n">
        <f aca="false">Assumptions!$D$66/12*Assumptions!I$193</f>
        <v>9333.33333333333</v>
      </c>
      <c r="J27" s="62" t="n">
        <f aca="false">Assumptions!$D$66/12*Assumptions!J$193</f>
        <v>9333.33333333333</v>
      </c>
      <c r="K27" s="62" t="n">
        <f aca="false">Assumptions!$D$66/12*Assumptions!K$193</f>
        <v>9333.33333333333</v>
      </c>
      <c r="L27" s="62" t="n">
        <f aca="false">Assumptions!$D$66/12*Assumptions!L$193</f>
        <v>9333.33333333333</v>
      </c>
      <c r="M27" s="62" t="n">
        <f aca="false">Assumptions!$D$66/12*Assumptions!M$193</f>
        <v>9333.33333333333</v>
      </c>
      <c r="N27" s="62" t="n">
        <f aca="false">Assumptions!$D$66/12*Assumptions!N$193</f>
        <v>9333.33333333333</v>
      </c>
      <c r="O27" s="62" t="n">
        <f aca="false">Assumptions!$D$66/12*Assumptions!O$193</f>
        <v>9333.33333333333</v>
      </c>
      <c r="P27" s="62" t="n">
        <f aca="false">Assumptions!$D$66/12*Assumptions!P$193</f>
        <v>9333.33333333333</v>
      </c>
      <c r="Q27" s="62" t="n">
        <f aca="false">Assumptions!$D$66/12*Assumptions!Q$193</f>
        <v>9706.66666666667</v>
      </c>
      <c r="R27" s="62" t="n">
        <f aca="false">Assumptions!$D$66/12*Assumptions!R$193</f>
        <v>9706.66666666667</v>
      </c>
      <c r="S27" s="62" t="n">
        <f aca="false">Assumptions!$D$66/12*Assumptions!S$193</f>
        <v>9706.66666666667</v>
      </c>
      <c r="T27" s="62" t="n">
        <f aca="false">Assumptions!$D$66/12*Assumptions!T$193</f>
        <v>9706.66666666667</v>
      </c>
      <c r="U27" s="62" t="n">
        <f aca="false">Assumptions!$D$66/12*Assumptions!U$193</f>
        <v>9706.66666666667</v>
      </c>
      <c r="V27" s="62" t="n">
        <f aca="false">Assumptions!$D$66/12*Assumptions!V$193</f>
        <v>9706.66666666667</v>
      </c>
      <c r="W27" s="62" t="n">
        <f aca="false">Assumptions!$D$66/12*Assumptions!W$193</f>
        <v>9706.66666666667</v>
      </c>
      <c r="X27" s="62" t="n">
        <f aca="false">Assumptions!$D$66/12*Assumptions!X$193</f>
        <v>9706.66666666667</v>
      </c>
      <c r="Y27" s="62" t="n">
        <f aca="false">Assumptions!$D$66/12*Assumptions!Y$193</f>
        <v>9706.66666666667</v>
      </c>
      <c r="Z27" s="62" t="n">
        <f aca="false">Assumptions!$D$66/12*Assumptions!Z$193</f>
        <v>9706.66666666667</v>
      </c>
      <c r="AA27" s="62" t="n">
        <f aca="false">Assumptions!$D$66/12*Assumptions!AA$193</f>
        <v>9706.66666666667</v>
      </c>
      <c r="AB27" s="62" t="n">
        <f aca="false">Assumptions!$D$66/12*Assumptions!AB$193</f>
        <v>9706.66666666667</v>
      </c>
    </row>
    <row r="28" customFormat="false" ht="15" hidden="false" customHeight="false" outlineLevel="0" collapsed="false">
      <c r="A28" s="29" t="s">
        <v>1106</v>
      </c>
      <c r="B28" s="60" t="s">
        <v>1100</v>
      </c>
      <c r="C28" s="111" t="n">
        <f aca="false">AVERAGE(E28:P28)</f>
        <v>1557.08375</v>
      </c>
      <c r="D28" s="111" t="n">
        <f aca="false">AVERAGE(Q28:AB28)</f>
        <v>1661.1075</v>
      </c>
      <c r="E28" s="116" t="n">
        <f aca="false">Assumptions!$C$56*MIN(E27,Assumptions!E$201)+Assumptions!$C$57*MIN(E27,Assumptions!E$202)</f>
        <v>1557.08375</v>
      </c>
      <c r="F28" s="116" t="n">
        <f aca="false">Assumptions!$C$56*MIN(F27,Assumptions!F$201)+Assumptions!$C$57*MIN(F27,Assumptions!F$202)</f>
        <v>1557.08375</v>
      </c>
      <c r="G28" s="116" t="n">
        <f aca="false">Assumptions!$C$56*MIN(G27,Assumptions!G$201)+Assumptions!$C$57*MIN(G27,Assumptions!G$202)</f>
        <v>1557.08375</v>
      </c>
      <c r="H28" s="116" t="n">
        <f aca="false">Assumptions!$C$56*MIN(H27,Assumptions!H$201)+Assumptions!$C$57*MIN(H27,Assumptions!H$202)</f>
        <v>1557.08375</v>
      </c>
      <c r="I28" s="116" t="n">
        <f aca="false">Assumptions!$C$56*MIN(I27,Assumptions!I$201)+Assumptions!$C$57*MIN(I27,Assumptions!I$202)</f>
        <v>1557.08375</v>
      </c>
      <c r="J28" s="116" t="n">
        <f aca="false">Assumptions!$C$56*MIN(J27,Assumptions!J$201)+Assumptions!$C$57*MIN(J27,Assumptions!J$202)</f>
        <v>1557.08375</v>
      </c>
      <c r="K28" s="116" t="n">
        <f aca="false">Assumptions!$C$56*MIN(K27,Assumptions!K$201)+Assumptions!$C$57*MIN(K27,Assumptions!K$202)</f>
        <v>1557.08375</v>
      </c>
      <c r="L28" s="116" t="n">
        <f aca="false">Assumptions!$C$56*MIN(L27,Assumptions!L$201)+Assumptions!$C$57*MIN(L27,Assumptions!L$202)</f>
        <v>1557.08375</v>
      </c>
      <c r="M28" s="116" t="n">
        <f aca="false">Assumptions!$C$56*MIN(M27,Assumptions!M$201)+Assumptions!$C$57*MIN(M27,Assumptions!M$202)</f>
        <v>1557.08375</v>
      </c>
      <c r="N28" s="116" t="n">
        <f aca="false">Assumptions!$C$56*MIN(N27,Assumptions!N$201)+Assumptions!$C$57*MIN(N27,Assumptions!N$202)</f>
        <v>1557.08375</v>
      </c>
      <c r="O28" s="116" t="n">
        <f aca="false">Assumptions!$C$56*MIN(O27,Assumptions!O$201)+Assumptions!$C$57*MIN(O27,Assumptions!O$202)</f>
        <v>1557.08375</v>
      </c>
      <c r="P28" s="116" t="n">
        <f aca="false">Assumptions!$C$56*MIN(P27,Assumptions!P$201)+Assumptions!$C$57*MIN(P27,Assumptions!P$202)</f>
        <v>1557.08375</v>
      </c>
      <c r="Q28" s="116" t="n">
        <f aca="false">Assumptions!$C$56*MIN(Q27,Assumptions!Q$201)+Assumptions!$C$57*MIN(Q27,Assumptions!Q$202)</f>
        <v>1661.1075</v>
      </c>
      <c r="R28" s="116" t="n">
        <f aca="false">Assumptions!$C$56*MIN(R27,Assumptions!R$201)+Assumptions!$C$57*MIN(R27,Assumptions!R$202)</f>
        <v>1661.1075</v>
      </c>
      <c r="S28" s="116" t="n">
        <f aca="false">Assumptions!$C$56*MIN(S27,Assumptions!S$201)+Assumptions!$C$57*MIN(S27,Assumptions!S$202)</f>
        <v>1661.1075</v>
      </c>
      <c r="T28" s="116" t="n">
        <f aca="false">Assumptions!$C$56*MIN(T27,Assumptions!T$201)+Assumptions!$C$57*MIN(T27,Assumptions!T$202)</f>
        <v>1661.1075</v>
      </c>
      <c r="U28" s="116" t="n">
        <f aca="false">Assumptions!$C$56*MIN(U27,Assumptions!U$201)+Assumptions!$C$57*MIN(U27,Assumptions!U$202)</f>
        <v>1661.1075</v>
      </c>
      <c r="V28" s="116" t="n">
        <f aca="false">Assumptions!$C$56*MIN(V27,Assumptions!V$201)+Assumptions!$C$57*MIN(V27,Assumptions!V$202)</f>
        <v>1661.1075</v>
      </c>
      <c r="W28" s="116" t="n">
        <f aca="false">Assumptions!$C$56*MIN(W27,Assumptions!W$201)+Assumptions!$C$57*MIN(W27,Assumptions!W$202)</f>
        <v>1661.1075</v>
      </c>
      <c r="X28" s="116" t="n">
        <f aca="false">Assumptions!$C$56*MIN(X27,Assumptions!X$201)+Assumptions!$C$57*MIN(X27,Assumptions!X$202)</f>
        <v>1661.1075</v>
      </c>
      <c r="Y28" s="116" t="n">
        <f aca="false">Assumptions!$C$56*MIN(Y27,Assumptions!Y$201)+Assumptions!$C$57*MIN(Y27,Assumptions!Y$202)</f>
        <v>1661.1075</v>
      </c>
      <c r="Z28" s="116" t="n">
        <f aca="false">Assumptions!$C$56*MIN(Z27,Assumptions!Z$201)+Assumptions!$C$57*MIN(Z27,Assumptions!Z$202)</f>
        <v>1661.1075</v>
      </c>
      <c r="AA28" s="116" t="n">
        <f aca="false">Assumptions!$C$56*MIN(AA27,Assumptions!AA$201)+Assumptions!$C$57*MIN(AA27,Assumptions!AA$202)</f>
        <v>1661.1075</v>
      </c>
      <c r="AB28" s="116" t="n">
        <f aca="false">Assumptions!$C$56*MIN(AB27,Assumptions!AB$201)+Assumptions!$C$57*MIN(AB27,Assumptions!AB$202)</f>
        <v>1661.1075</v>
      </c>
    </row>
    <row r="29" customFormat="false" ht="15" hidden="false" customHeight="false" outlineLevel="0" collapsed="false">
      <c r="A29" s="29" t="s">
        <v>1107</v>
      </c>
      <c r="B29" s="60" t="s">
        <v>1100</v>
      </c>
      <c r="C29" s="111" t="n">
        <f aca="false">AVERAGE(E29:P29)</f>
        <v>1522.86875</v>
      </c>
      <c r="D29" s="111" t="n">
        <f aca="false">AVERAGE(Q29:AB29)</f>
        <v>1625.9625</v>
      </c>
      <c r="E29" s="116" t="n">
        <f aca="false">Assumptions!$C$58*MIN(E27,Assumptions!E$201)+Assumptions!$C$59*MIN(E27,Assumptions!E$202)</f>
        <v>1522.86875</v>
      </c>
      <c r="F29" s="116" t="n">
        <f aca="false">Assumptions!$C$58*MIN(F27,Assumptions!F$201)+Assumptions!$C$59*MIN(F27,Assumptions!F$202)</f>
        <v>1522.86875</v>
      </c>
      <c r="G29" s="116" t="n">
        <f aca="false">Assumptions!$C$58*MIN(G27,Assumptions!G$201)+Assumptions!$C$59*MIN(G27,Assumptions!G$202)</f>
        <v>1522.86875</v>
      </c>
      <c r="H29" s="116" t="n">
        <f aca="false">Assumptions!$C$58*MIN(H27,Assumptions!H$201)+Assumptions!$C$59*MIN(H27,Assumptions!H$202)</f>
        <v>1522.86875</v>
      </c>
      <c r="I29" s="116" t="n">
        <f aca="false">Assumptions!$C$58*MIN(I27,Assumptions!I$201)+Assumptions!$C$59*MIN(I27,Assumptions!I$202)</f>
        <v>1522.86875</v>
      </c>
      <c r="J29" s="116" t="n">
        <f aca="false">Assumptions!$C$58*MIN(J27,Assumptions!J$201)+Assumptions!$C$59*MIN(J27,Assumptions!J$202)</f>
        <v>1522.86875</v>
      </c>
      <c r="K29" s="116" t="n">
        <f aca="false">Assumptions!$C$58*MIN(K27,Assumptions!K$201)+Assumptions!$C$59*MIN(K27,Assumptions!K$202)</f>
        <v>1522.86875</v>
      </c>
      <c r="L29" s="116" t="n">
        <f aca="false">Assumptions!$C$58*MIN(L27,Assumptions!L$201)+Assumptions!$C$59*MIN(L27,Assumptions!L$202)</f>
        <v>1522.86875</v>
      </c>
      <c r="M29" s="116" t="n">
        <f aca="false">Assumptions!$C$58*MIN(M27,Assumptions!M$201)+Assumptions!$C$59*MIN(M27,Assumptions!M$202)</f>
        <v>1522.86875</v>
      </c>
      <c r="N29" s="116" t="n">
        <f aca="false">Assumptions!$C$58*MIN(N27,Assumptions!N$201)+Assumptions!$C$59*MIN(N27,Assumptions!N$202)</f>
        <v>1522.86875</v>
      </c>
      <c r="O29" s="116" t="n">
        <f aca="false">Assumptions!$C$58*MIN(O27,Assumptions!O$201)+Assumptions!$C$59*MIN(O27,Assumptions!O$202)</f>
        <v>1522.86875</v>
      </c>
      <c r="P29" s="116" t="n">
        <f aca="false">Assumptions!$C$58*MIN(P27,Assumptions!P$201)+Assumptions!$C$59*MIN(P27,Assumptions!P$202)</f>
        <v>1522.86875</v>
      </c>
      <c r="Q29" s="116" t="n">
        <f aca="false">Assumptions!$C$58*MIN(Q27,Assumptions!Q$201)+Assumptions!$C$59*MIN(Q27,Assumptions!Q$202)</f>
        <v>1625.9625</v>
      </c>
      <c r="R29" s="116" t="n">
        <f aca="false">Assumptions!$C$58*MIN(R27,Assumptions!R$201)+Assumptions!$C$59*MIN(R27,Assumptions!R$202)</f>
        <v>1625.9625</v>
      </c>
      <c r="S29" s="116" t="n">
        <f aca="false">Assumptions!$C$58*MIN(S27,Assumptions!S$201)+Assumptions!$C$59*MIN(S27,Assumptions!S$202)</f>
        <v>1625.9625</v>
      </c>
      <c r="T29" s="116" t="n">
        <f aca="false">Assumptions!$C$58*MIN(T27,Assumptions!T$201)+Assumptions!$C$59*MIN(T27,Assumptions!T$202)</f>
        <v>1625.9625</v>
      </c>
      <c r="U29" s="116" t="n">
        <f aca="false">Assumptions!$C$58*MIN(U27,Assumptions!U$201)+Assumptions!$C$59*MIN(U27,Assumptions!U$202)</f>
        <v>1625.9625</v>
      </c>
      <c r="V29" s="116" t="n">
        <f aca="false">Assumptions!$C$58*MIN(V27,Assumptions!V$201)+Assumptions!$C$59*MIN(V27,Assumptions!V$202)</f>
        <v>1625.9625</v>
      </c>
      <c r="W29" s="116" t="n">
        <f aca="false">Assumptions!$C$58*MIN(W27,Assumptions!W$201)+Assumptions!$C$59*MIN(W27,Assumptions!W$202)</f>
        <v>1625.9625</v>
      </c>
      <c r="X29" s="116" t="n">
        <f aca="false">Assumptions!$C$58*MIN(X27,Assumptions!X$201)+Assumptions!$C$59*MIN(X27,Assumptions!X$202)</f>
        <v>1625.9625</v>
      </c>
      <c r="Y29" s="116" t="n">
        <f aca="false">Assumptions!$C$58*MIN(Y27,Assumptions!Y$201)+Assumptions!$C$59*MIN(Y27,Assumptions!Y$202)</f>
        <v>1625.9625</v>
      </c>
      <c r="Z29" s="116" t="n">
        <f aca="false">Assumptions!$C$58*MIN(Z27,Assumptions!Z$201)+Assumptions!$C$59*MIN(Z27,Assumptions!Z$202)</f>
        <v>1625.9625</v>
      </c>
      <c r="AA29" s="116" t="n">
        <f aca="false">Assumptions!$C$58*MIN(AA27,Assumptions!AA$201)+Assumptions!$C$59*MIN(AA27,Assumptions!AA$202)</f>
        <v>1625.9625</v>
      </c>
      <c r="AB29" s="116" t="n">
        <f aca="false">Assumptions!$C$58*MIN(AB27,Assumptions!AB$201)+Assumptions!$C$59*MIN(AB27,Assumptions!AB$202)</f>
        <v>1625.9625</v>
      </c>
    </row>
    <row r="30" customFormat="false" ht="15" hidden="false" customHeight="false" outlineLevel="0" collapsed="false">
      <c r="A30" s="29" t="s">
        <v>1108</v>
      </c>
      <c r="B30" s="60" t="s">
        <v>1098</v>
      </c>
      <c r="C30" s="61" t="n">
        <f aca="false">AVERAGE(E30:P30)</f>
        <v>6916.66666666667</v>
      </c>
      <c r="D30" s="61" t="n">
        <f aca="false">AVERAGE(Q30:AB30)</f>
        <v>7193.33333333333</v>
      </c>
      <c r="E30" s="62" t="n">
        <f aca="false">Assumptions!$D$67/12*Assumptions!E$193</f>
        <v>6916.66666666667</v>
      </c>
      <c r="F30" s="62" t="n">
        <f aca="false">Assumptions!$D$67/12*Assumptions!F$193</f>
        <v>6916.66666666667</v>
      </c>
      <c r="G30" s="62" t="n">
        <f aca="false">Assumptions!$D$67/12*Assumptions!G$193</f>
        <v>6916.66666666667</v>
      </c>
      <c r="H30" s="62" t="n">
        <f aca="false">Assumptions!$D$67/12*Assumptions!H$193</f>
        <v>6916.66666666667</v>
      </c>
      <c r="I30" s="62" t="n">
        <f aca="false">Assumptions!$D$67/12*Assumptions!I$193</f>
        <v>6916.66666666667</v>
      </c>
      <c r="J30" s="62" t="n">
        <f aca="false">Assumptions!$D$67/12*Assumptions!J$193</f>
        <v>6916.66666666667</v>
      </c>
      <c r="K30" s="62" t="n">
        <f aca="false">Assumptions!$D$67/12*Assumptions!K$193</f>
        <v>6916.66666666667</v>
      </c>
      <c r="L30" s="62" t="n">
        <f aca="false">Assumptions!$D$67/12*Assumptions!L$193</f>
        <v>6916.66666666667</v>
      </c>
      <c r="M30" s="62" t="n">
        <f aca="false">Assumptions!$D$67/12*Assumptions!M$193</f>
        <v>6916.66666666667</v>
      </c>
      <c r="N30" s="62" t="n">
        <f aca="false">Assumptions!$D$67/12*Assumptions!N$193</f>
        <v>6916.66666666667</v>
      </c>
      <c r="O30" s="62" t="n">
        <f aca="false">Assumptions!$D$67/12*Assumptions!O$193</f>
        <v>6916.66666666667</v>
      </c>
      <c r="P30" s="62" t="n">
        <f aca="false">Assumptions!$D$67/12*Assumptions!P$193</f>
        <v>6916.66666666667</v>
      </c>
      <c r="Q30" s="62" t="n">
        <f aca="false">Assumptions!$D$67/12*Assumptions!Q$193</f>
        <v>7193.33333333333</v>
      </c>
      <c r="R30" s="62" t="n">
        <f aca="false">Assumptions!$D$67/12*Assumptions!R$193</f>
        <v>7193.33333333333</v>
      </c>
      <c r="S30" s="62" t="n">
        <f aca="false">Assumptions!$D$67/12*Assumptions!S$193</f>
        <v>7193.33333333333</v>
      </c>
      <c r="T30" s="62" t="n">
        <f aca="false">Assumptions!$D$67/12*Assumptions!T$193</f>
        <v>7193.33333333333</v>
      </c>
      <c r="U30" s="62" t="n">
        <f aca="false">Assumptions!$D$67/12*Assumptions!U$193</f>
        <v>7193.33333333333</v>
      </c>
      <c r="V30" s="62" t="n">
        <f aca="false">Assumptions!$D$67/12*Assumptions!V$193</f>
        <v>7193.33333333333</v>
      </c>
      <c r="W30" s="62" t="n">
        <f aca="false">Assumptions!$D$67/12*Assumptions!W$193</f>
        <v>7193.33333333333</v>
      </c>
      <c r="X30" s="62" t="n">
        <f aca="false">Assumptions!$D$67/12*Assumptions!X$193</f>
        <v>7193.33333333333</v>
      </c>
      <c r="Y30" s="62" t="n">
        <f aca="false">Assumptions!$D$67/12*Assumptions!Y$193</f>
        <v>7193.33333333333</v>
      </c>
      <c r="Z30" s="62" t="n">
        <f aca="false">Assumptions!$D$67/12*Assumptions!Z$193</f>
        <v>7193.33333333333</v>
      </c>
      <c r="AA30" s="62" t="n">
        <f aca="false">Assumptions!$D$67/12*Assumptions!AA$193</f>
        <v>7193.33333333333</v>
      </c>
      <c r="AB30" s="62" t="n">
        <f aca="false">Assumptions!$D$67/12*Assumptions!AB$193</f>
        <v>7193.33333333333</v>
      </c>
    </row>
    <row r="31" customFormat="false" ht="15" hidden="false" customHeight="false" outlineLevel="0" collapsed="false">
      <c r="A31" s="29" t="s">
        <v>1109</v>
      </c>
      <c r="B31" s="60" t="s">
        <v>1100</v>
      </c>
      <c r="C31" s="111" t="n">
        <f aca="false">AVERAGE(E31:P31)</f>
        <v>1385.81041666667</v>
      </c>
      <c r="D31" s="111" t="n">
        <f aca="false">AVERAGE(Q31:AB31)</f>
        <v>1476.05783333333</v>
      </c>
      <c r="E31" s="116" t="n">
        <f aca="false">Assumptions!$C$56*MIN(E30,Assumptions!E$201)+Assumptions!$C$57*MIN(E30,Assumptions!E$202)</f>
        <v>1385.81041666667</v>
      </c>
      <c r="F31" s="116" t="n">
        <f aca="false">Assumptions!$C$56*MIN(F30,Assumptions!F$201)+Assumptions!$C$57*MIN(F30,Assumptions!F$202)</f>
        <v>1385.81041666667</v>
      </c>
      <c r="G31" s="116" t="n">
        <f aca="false">Assumptions!$C$56*MIN(G30,Assumptions!G$201)+Assumptions!$C$57*MIN(G30,Assumptions!G$202)</f>
        <v>1385.81041666667</v>
      </c>
      <c r="H31" s="116" t="n">
        <f aca="false">Assumptions!$C$56*MIN(H30,Assumptions!H$201)+Assumptions!$C$57*MIN(H30,Assumptions!H$202)</f>
        <v>1385.81041666667</v>
      </c>
      <c r="I31" s="116" t="n">
        <f aca="false">Assumptions!$C$56*MIN(I30,Assumptions!I$201)+Assumptions!$C$57*MIN(I30,Assumptions!I$202)</f>
        <v>1385.81041666667</v>
      </c>
      <c r="J31" s="116" t="n">
        <f aca="false">Assumptions!$C$56*MIN(J30,Assumptions!J$201)+Assumptions!$C$57*MIN(J30,Assumptions!J$202)</f>
        <v>1385.81041666667</v>
      </c>
      <c r="K31" s="116" t="n">
        <f aca="false">Assumptions!$C$56*MIN(K30,Assumptions!K$201)+Assumptions!$C$57*MIN(K30,Assumptions!K$202)</f>
        <v>1385.81041666667</v>
      </c>
      <c r="L31" s="116" t="n">
        <f aca="false">Assumptions!$C$56*MIN(L30,Assumptions!L$201)+Assumptions!$C$57*MIN(L30,Assumptions!L$202)</f>
        <v>1385.81041666667</v>
      </c>
      <c r="M31" s="116" t="n">
        <f aca="false">Assumptions!$C$56*MIN(M30,Assumptions!M$201)+Assumptions!$C$57*MIN(M30,Assumptions!M$202)</f>
        <v>1385.81041666667</v>
      </c>
      <c r="N31" s="116" t="n">
        <f aca="false">Assumptions!$C$56*MIN(N30,Assumptions!N$201)+Assumptions!$C$57*MIN(N30,Assumptions!N$202)</f>
        <v>1385.81041666667</v>
      </c>
      <c r="O31" s="116" t="n">
        <f aca="false">Assumptions!$C$56*MIN(O30,Assumptions!O$201)+Assumptions!$C$57*MIN(O30,Assumptions!O$202)</f>
        <v>1385.81041666667</v>
      </c>
      <c r="P31" s="116" t="n">
        <f aca="false">Assumptions!$C$56*MIN(P30,Assumptions!P$201)+Assumptions!$C$57*MIN(P30,Assumptions!P$202)</f>
        <v>1385.81041666667</v>
      </c>
      <c r="Q31" s="116" t="n">
        <f aca="false">Assumptions!$C$56*MIN(Q30,Assumptions!Q$201)+Assumptions!$C$57*MIN(Q30,Assumptions!Q$202)</f>
        <v>1476.05783333333</v>
      </c>
      <c r="R31" s="116" t="n">
        <f aca="false">Assumptions!$C$56*MIN(R30,Assumptions!R$201)+Assumptions!$C$57*MIN(R30,Assumptions!R$202)</f>
        <v>1476.05783333333</v>
      </c>
      <c r="S31" s="116" t="n">
        <f aca="false">Assumptions!$C$56*MIN(S30,Assumptions!S$201)+Assumptions!$C$57*MIN(S30,Assumptions!S$202)</f>
        <v>1476.05783333333</v>
      </c>
      <c r="T31" s="116" t="n">
        <f aca="false">Assumptions!$C$56*MIN(T30,Assumptions!T$201)+Assumptions!$C$57*MIN(T30,Assumptions!T$202)</f>
        <v>1476.05783333333</v>
      </c>
      <c r="U31" s="116" t="n">
        <f aca="false">Assumptions!$C$56*MIN(U30,Assumptions!U$201)+Assumptions!$C$57*MIN(U30,Assumptions!U$202)</f>
        <v>1476.05783333333</v>
      </c>
      <c r="V31" s="116" t="n">
        <f aca="false">Assumptions!$C$56*MIN(V30,Assumptions!V$201)+Assumptions!$C$57*MIN(V30,Assumptions!V$202)</f>
        <v>1476.05783333333</v>
      </c>
      <c r="W31" s="116" t="n">
        <f aca="false">Assumptions!$C$56*MIN(W30,Assumptions!W$201)+Assumptions!$C$57*MIN(W30,Assumptions!W$202)</f>
        <v>1476.05783333333</v>
      </c>
      <c r="X31" s="116" t="n">
        <f aca="false">Assumptions!$C$56*MIN(X30,Assumptions!X$201)+Assumptions!$C$57*MIN(X30,Assumptions!X$202)</f>
        <v>1476.05783333333</v>
      </c>
      <c r="Y31" s="116" t="n">
        <f aca="false">Assumptions!$C$56*MIN(Y30,Assumptions!Y$201)+Assumptions!$C$57*MIN(Y30,Assumptions!Y$202)</f>
        <v>1476.05783333333</v>
      </c>
      <c r="Z31" s="116" t="n">
        <f aca="false">Assumptions!$C$56*MIN(Z30,Assumptions!Z$201)+Assumptions!$C$57*MIN(Z30,Assumptions!Z$202)</f>
        <v>1476.05783333333</v>
      </c>
      <c r="AA31" s="116" t="n">
        <f aca="false">Assumptions!$C$56*MIN(AA30,Assumptions!AA$201)+Assumptions!$C$57*MIN(AA30,Assumptions!AA$202)</f>
        <v>1476.05783333333</v>
      </c>
      <c r="AB31" s="116" t="n">
        <f aca="false">Assumptions!$C$56*MIN(AB30,Assumptions!AB$201)+Assumptions!$C$57*MIN(AB30,Assumptions!AB$202)</f>
        <v>1476.05783333333</v>
      </c>
    </row>
    <row r="32" customFormat="false" ht="15" hidden="false" customHeight="false" outlineLevel="0" collapsed="false">
      <c r="A32" s="29" t="s">
        <v>1110</v>
      </c>
      <c r="B32" s="60" t="s">
        <v>1100</v>
      </c>
      <c r="C32" s="111" t="n">
        <f aca="false">AVERAGE(E32:P32)</f>
        <v>1360.33541666667</v>
      </c>
      <c r="D32" s="111" t="n">
        <f aca="false">AVERAGE(Q32:AB32)</f>
        <v>1450.35583333333</v>
      </c>
      <c r="E32" s="116" t="n">
        <f aca="false">Assumptions!$C$58*MIN(E30,Assumptions!E$201)+Assumptions!$C$59*MIN(E30,Assumptions!E$202)</f>
        <v>1360.33541666667</v>
      </c>
      <c r="F32" s="116" t="n">
        <f aca="false">Assumptions!$C$58*MIN(F30,Assumptions!F$201)+Assumptions!$C$59*MIN(F30,Assumptions!F$202)</f>
        <v>1360.33541666667</v>
      </c>
      <c r="G32" s="116" t="n">
        <f aca="false">Assumptions!$C$58*MIN(G30,Assumptions!G$201)+Assumptions!$C$59*MIN(G30,Assumptions!G$202)</f>
        <v>1360.33541666667</v>
      </c>
      <c r="H32" s="116" t="n">
        <f aca="false">Assumptions!$C$58*MIN(H30,Assumptions!H$201)+Assumptions!$C$59*MIN(H30,Assumptions!H$202)</f>
        <v>1360.33541666667</v>
      </c>
      <c r="I32" s="116" t="n">
        <f aca="false">Assumptions!$C$58*MIN(I30,Assumptions!I$201)+Assumptions!$C$59*MIN(I30,Assumptions!I$202)</f>
        <v>1360.33541666667</v>
      </c>
      <c r="J32" s="116" t="n">
        <f aca="false">Assumptions!$C$58*MIN(J30,Assumptions!J$201)+Assumptions!$C$59*MIN(J30,Assumptions!J$202)</f>
        <v>1360.33541666667</v>
      </c>
      <c r="K32" s="116" t="n">
        <f aca="false">Assumptions!$C$58*MIN(K30,Assumptions!K$201)+Assumptions!$C$59*MIN(K30,Assumptions!K$202)</f>
        <v>1360.33541666667</v>
      </c>
      <c r="L32" s="116" t="n">
        <f aca="false">Assumptions!$C$58*MIN(L30,Assumptions!L$201)+Assumptions!$C$59*MIN(L30,Assumptions!L$202)</f>
        <v>1360.33541666667</v>
      </c>
      <c r="M32" s="116" t="n">
        <f aca="false">Assumptions!$C$58*MIN(M30,Assumptions!M$201)+Assumptions!$C$59*MIN(M30,Assumptions!M$202)</f>
        <v>1360.33541666667</v>
      </c>
      <c r="N32" s="116" t="n">
        <f aca="false">Assumptions!$C$58*MIN(N30,Assumptions!N$201)+Assumptions!$C$59*MIN(N30,Assumptions!N$202)</f>
        <v>1360.33541666667</v>
      </c>
      <c r="O32" s="116" t="n">
        <f aca="false">Assumptions!$C$58*MIN(O30,Assumptions!O$201)+Assumptions!$C$59*MIN(O30,Assumptions!O$202)</f>
        <v>1360.33541666667</v>
      </c>
      <c r="P32" s="116" t="n">
        <f aca="false">Assumptions!$C$58*MIN(P30,Assumptions!P$201)+Assumptions!$C$59*MIN(P30,Assumptions!P$202)</f>
        <v>1360.33541666667</v>
      </c>
      <c r="Q32" s="116" t="n">
        <f aca="false">Assumptions!$C$58*MIN(Q30,Assumptions!Q$201)+Assumptions!$C$59*MIN(Q30,Assumptions!Q$202)</f>
        <v>1450.35583333333</v>
      </c>
      <c r="R32" s="116" t="n">
        <f aca="false">Assumptions!$C$58*MIN(R30,Assumptions!R$201)+Assumptions!$C$59*MIN(R30,Assumptions!R$202)</f>
        <v>1450.35583333333</v>
      </c>
      <c r="S32" s="116" t="n">
        <f aca="false">Assumptions!$C$58*MIN(S30,Assumptions!S$201)+Assumptions!$C$59*MIN(S30,Assumptions!S$202)</f>
        <v>1450.35583333333</v>
      </c>
      <c r="T32" s="116" t="n">
        <f aca="false">Assumptions!$C$58*MIN(T30,Assumptions!T$201)+Assumptions!$C$59*MIN(T30,Assumptions!T$202)</f>
        <v>1450.35583333333</v>
      </c>
      <c r="U32" s="116" t="n">
        <f aca="false">Assumptions!$C$58*MIN(U30,Assumptions!U$201)+Assumptions!$C$59*MIN(U30,Assumptions!U$202)</f>
        <v>1450.35583333333</v>
      </c>
      <c r="V32" s="116" t="n">
        <f aca="false">Assumptions!$C$58*MIN(V30,Assumptions!V$201)+Assumptions!$C$59*MIN(V30,Assumptions!V$202)</f>
        <v>1450.35583333333</v>
      </c>
      <c r="W32" s="116" t="n">
        <f aca="false">Assumptions!$C$58*MIN(W30,Assumptions!W$201)+Assumptions!$C$59*MIN(W30,Assumptions!W$202)</f>
        <v>1450.35583333333</v>
      </c>
      <c r="X32" s="116" t="n">
        <f aca="false">Assumptions!$C$58*MIN(X30,Assumptions!X$201)+Assumptions!$C$59*MIN(X30,Assumptions!X$202)</f>
        <v>1450.35583333333</v>
      </c>
      <c r="Y32" s="116" t="n">
        <f aca="false">Assumptions!$C$58*MIN(Y30,Assumptions!Y$201)+Assumptions!$C$59*MIN(Y30,Assumptions!Y$202)</f>
        <v>1450.35583333333</v>
      </c>
      <c r="Z32" s="116" t="n">
        <f aca="false">Assumptions!$C$58*MIN(Z30,Assumptions!Z$201)+Assumptions!$C$59*MIN(Z30,Assumptions!Z$202)</f>
        <v>1450.35583333333</v>
      </c>
      <c r="AA32" s="116" t="n">
        <f aca="false">Assumptions!$C$58*MIN(AA30,Assumptions!AA$201)+Assumptions!$C$59*MIN(AA30,Assumptions!AA$202)</f>
        <v>1450.35583333333</v>
      </c>
      <c r="AB32" s="116" t="n">
        <f aca="false">Assumptions!$C$58*MIN(AB30,Assumptions!AB$201)+Assumptions!$C$59*MIN(AB30,Assumptions!AB$202)</f>
        <v>1450.35583333333</v>
      </c>
    </row>
    <row r="33" customFormat="false" ht="15" hidden="false" customHeight="false" outlineLevel="0" collapsed="false">
      <c r="A33" s="29" t="s">
        <v>1111</v>
      </c>
      <c r="B33" s="60" t="s">
        <v>1098</v>
      </c>
      <c r="C33" s="61" t="n">
        <f aca="false">AVERAGE(E33:P33)</f>
        <v>5208.33333333333</v>
      </c>
      <c r="D33" s="61" t="n">
        <f aca="false">AVERAGE(Q33:AB33)</f>
        <v>5416.66666666667</v>
      </c>
      <c r="E33" s="62" t="n">
        <f aca="false">Assumptions!$D$68/12*Assumptions!E$193</f>
        <v>5208.33333333333</v>
      </c>
      <c r="F33" s="62" t="n">
        <f aca="false">Assumptions!$D$68/12*Assumptions!F$193</f>
        <v>5208.33333333333</v>
      </c>
      <c r="G33" s="62" t="n">
        <f aca="false">Assumptions!$D$68/12*Assumptions!G$193</f>
        <v>5208.33333333333</v>
      </c>
      <c r="H33" s="62" t="n">
        <f aca="false">Assumptions!$D$68/12*Assumptions!H$193</f>
        <v>5208.33333333333</v>
      </c>
      <c r="I33" s="62" t="n">
        <f aca="false">Assumptions!$D$68/12*Assumptions!I$193</f>
        <v>5208.33333333333</v>
      </c>
      <c r="J33" s="62" t="n">
        <f aca="false">Assumptions!$D$68/12*Assumptions!J$193</f>
        <v>5208.33333333333</v>
      </c>
      <c r="K33" s="62" t="n">
        <f aca="false">Assumptions!$D$68/12*Assumptions!K$193</f>
        <v>5208.33333333333</v>
      </c>
      <c r="L33" s="62" t="n">
        <f aca="false">Assumptions!$D$68/12*Assumptions!L$193</f>
        <v>5208.33333333333</v>
      </c>
      <c r="M33" s="62" t="n">
        <f aca="false">Assumptions!$D$68/12*Assumptions!M$193</f>
        <v>5208.33333333333</v>
      </c>
      <c r="N33" s="62" t="n">
        <f aca="false">Assumptions!$D$68/12*Assumptions!N$193</f>
        <v>5208.33333333333</v>
      </c>
      <c r="O33" s="62" t="n">
        <f aca="false">Assumptions!$D$68/12*Assumptions!O$193</f>
        <v>5208.33333333333</v>
      </c>
      <c r="P33" s="62" t="n">
        <f aca="false">Assumptions!$D$68/12*Assumptions!P$193</f>
        <v>5208.33333333333</v>
      </c>
      <c r="Q33" s="62" t="n">
        <f aca="false">Assumptions!$D$68/12*Assumptions!Q$193</f>
        <v>5416.66666666667</v>
      </c>
      <c r="R33" s="62" t="n">
        <f aca="false">Assumptions!$D$68/12*Assumptions!R$193</f>
        <v>5416.66666666667</v>
      </c>
      <c r="S33" s="62" t="n">
        <f aca="false">Assumptions!$D$68/12*Assumptions!S$193</f>
        <v>5416.66666666667</v>
      </c>
      <c r="T33" s="62" t="n">
        <f aca="false">Assumptions!$D$68/12*Assumptions!T$193</f>
        <v>5416.66666666667</v>
      </c>
      <c r="U33" s="62" t="n">
        <f aca="false">Assumptions!$D$68/12*Assumptions!U$193</f>
        <v>5416.66666666667</v>
      </c>
      <c r="V33" s="62" t="n">
        <f aca="false">Assumptions!$D$68/12*Assumptions!V$193</f>
        <v>5416.66666666667</v>
      </c>
      <c r="W33" s="62" t="n">
        <f aca="false">Assumptions!$D$68/12*Assumptions!W$193</f>
        <v>5416.66666666667</v>
      </c>
      <c r="X33" s="62" t="n">
        <f aca="false">Assumptions!$D$68/12*Assumptions!X$193</f>
        <v>5416.66666666667</v>
      </c>
      <c r="Y33" s="62" t="n">
        <f aca="false">Assumptions!$D$68/12*Assumptions!Y$193</f>
        <v>5416.66666666667</v>
      </c>
      <c r="Z33" s="62" t="n">
        <f aca="false">Assumptions!$D$68/12*Assumptions!Z$193</f>
        <v>5416.66666666667</v>
      </c>
      <c r="AA33" s="62" t="n">
        <f aca="false">Assumptions!$D$68/12*Assumptions!AA$193</f>
        <v>5416.66666666667</v>
      </c>
      <c r="AB33" s="62" t="n">
        <f aca="false">Assumptions!$D$68/12*Assumptions!AB$193</f>
        <v>5416.66666666667</v>
      </c>
    </row>
    <row r="34" customFormat="false" ht="15" hidden="false" customHeight="false" outlineLevel="0" collapsed="false">
      <c r="A34" s="29" t="s">
        <v>1112</v>
      </c>
      <c r="B34" s="60" t="s">
        <v>1100</v>
      </c>
      <c r="C34" s="111" t="n">
        <f aca="false">AVERAGE(E34:P34)</f>
        <v>1131.25</v>
      </c>
      <c r="D34" s="111" t="n">
        <f aca="false">AVERAGE(Q34:AB34)</f>
        <v>1176.5</v>
      </c>
      <c r="E34" s="116" t="n">
        <f aca="false">Assumptions!$C$56*MIN(E33,Assumptions!E$201)+Assumptions!$C$57*MIN(E33,Assumptions!E$202)</f>
        <v>1131.25</v>
      </c>
      <c r="F34" s="116" t="n">
        <f aca="false">Assumptions!$C$56*MIN(F33,Assumptions!F$201)+Assumptions!$C$57*MIN(F33,Assumptions!F$202)</f>
        <v>1131.25</v>
      </c>
      <c r="G34" s="116" t="n">
        <f aca="false">Assumptions!$C$56*MIN(G33,Assumptions!G$201)+Assumptions!$C$57*MIN(G33,Assumptions!G$202)</f>
        <v>1131.25</v>
      </c>
      <c r="H34" s="116" t="n">
        <f aca="false">Assumptions!$C$56*MIN(H33,Assumptions!H$201)+Assumptions!$C$57*MIN(H33,Assumptions!H$202)</f>
        <v>1131.25</v>
      </c>
      <c r="I34" s="116" t="n">
        <f aca="false">Assumptions!$C$56*MIN(I33,Assumptions!I$201)+Assumptions!$C$57*MIN(I33,Assumptions!I$202)</f>
        <v>1131.25</v>
      </c>
      <c r="J34" s="116" t="n">
        <f aca="false">Assumptions!$C$56*MIN(J33,Assumptions!J$201)+Assumptions!$C$57*MIN(J33,Assumptions!J$202)</f>
        <v>1131.25</v>
      </c>
      <c r="K34" s="116" t="n">
        <f aca="false">Assumptions!$C$56*MIN(K33,Assumptions!K$201)+Assumptions!$C$57*MIN(K33,Assumptions!K$202)</f>
        <v>1131.25</v>
      </c>
      <c r="L34" s="116" t="n">
        <f aca="false">Assumptions!$C$56*MIN(L33,Assumptions!L$201)+Assumptions!$C$57*MIN(L33,Assumptions!L$202)</f>
        <v>1131.25</v>
      </c>
      <c r="M34" s="116" t="n">
        <f aca="false">Assumptions!$C$56*MIN(M33,Assumptions!M$201)+Assumptions!$C$57*MIN(M33,Assumptions!M$202)</f>
        <v>1131.25</v>
      </c>
      <c r="N34" s="116" t="n">
        <f aca="false">Assumptions!$C$56*MIN(N33,Assumptions!N$201)+Assumptions!$C$57*MIN(N33,Assumptions!N$202)</f>
        <v>1131.25</v>
      </c>
      <c r="O34" s="116" t="n">
        <f aca="false">Assumptions!$C$56*MIN(O33,Assumptions!O$201)+Assumptions!$C$57*MIN(O33,Assumptions!O$202)</f>
        <v>1131.25</v>
      </c>
      <c r="P34" s="116" t="n">
        <f aca="false">Assumptions!$C$56*MIN(P33,Assumptions!P$201)+Assumptions!$C$57*MIN(P33,Assumptions!P$202)</f>
        <v>1131.25</v>
      </c>
      <c r="Q34" s="116" t="n">
        <f aca="false">Assumptions!$C$56*MIN(Q33,Assumptions!Q$201)+Assumptions!$C$57*MIN(Q33,Assumptions!Q$202)</f>
        <v>1176.5</v>
      </c>
      <c r="R34" s="116" t="n">
        <f aca="false">Assumptions!$C$56*MIN(R33,Assumptions!R$201)+Assumptions!$C$57*MIN(R33,Assumptions!R$202)</f>
        <v>1176.5</v>
      </c>
      <c r="S34" s="116" t="n">
        <f aca="false">Assumptions!$C$56*MIN(S33,Assumptions!S$201)+Assumptions!$C$57*MIN(S33,Assumptions!S$202)</f>
        <v>1176.5</v>
      </c>
      <c r="T34" s="116" t="n">
        <f aca="false">Assumptions!$C$56*MIN(T33,Assumptions!T$201)+Assumptions!$C$57*MIN(T33,Assumptions!T$202)</f>
        <v>1176.5</v>
      </c>
      <c r="U34" s="116" t="n">
        <f aca="false">Assumptions!$C$56*MIN(U33,Assumptions!U$201)+Assumptions!$C$57*MIN(U33,Assumptions!U$202)</f>
        <v>1176.5</v>
      </c>
      <c r="V34" s="116" t="n">
        <f aca="false">Assumptions!$C$56*MIN(V33,Assumptions!V$201)+Assumptions!$C$57*MIN(V33,Assumptions!V$202)</f>
        <v>1176.5</v>
      </c>
      <c r="W34" s="116" t="n">
        <f aca="false">Assumptions!$C$56*MIN(W33,Assumptions!W$201)+Assumptions!$C$57*MIN(W33,Assumptions!W$202)</f>
        <v>1176.5</v>
      </c>
      <c r="X34" s="116" t="n">
        <f aca="false">Assumptions!$C$56*MIN(X33,Assumptions!X$201)+Assumptions!$C$57*MIN(X33,Assumptions!X$202)</f>
        <v>1176.5</v>
      </c>
      <c r="Y34" s="116" t="n">
        <f aca="false">Assumptions!$C$56*MIN(Y33,Assumptions!Y$201)+Assumptions!$C$57*MIN(Y33,Assumptions!Y$202)</f>
        <v>1176.5</v>
      </c>
      <c r="Z34" s="116" t="n">
        <f aca="false">Assumptions!$C$56*MIN(Z33,Assumptions!Z$201)+Assumptions!$C$57*MIN(Z33,Assumptions!Z$202)</f>
        <v>1176.5</v>
      </c>
      <c r="AA34" s="116" t="n">
        <f aca="false">Assumptions!$C$56*MIN(AA33,Assumptions!AA$201)+Assumptions!$C$57*MIN(AA33,Assumptions!AA$202)</f>
        <v>1176.5</v>
      </c>
      <c r="AB34" s="116" t="n">
        <f aca="false">Assumptions!$C$56*MIN(AB33,Assumptions!AB$201)+Assumptions!$C$57*MIN(AB33,Assumptions!AB$202)</f>
        <v>1176.5</v>
      </c>
    </row>
    <row r="35" customFormat="false" ht="15" hidden="false" customHeight="false" outlineLevel="0" collapsed="false">
      <c r="A35" s="29" t="s">
        <v>1113</v>
      </c>
      <c r="B35" s="60" t="s">
        <v>1100</v>
      </c>
      <c r="C35" s="111" t="n">
        <f aca="false">AVERAGE(E35:P35)</f>
        <v>1114.0625</v>
      </c>
      <c r="D35" s="111" t="n">
        <f aca="false">AVERAGE(Q35:AB35)</f>
        <v>1158.625</v>
      </c>
      <c r="E35" s="116" t="n">
        <f aca="false">Assumptions!$C$58*MIN(E33,Assumptions!E$201)+Assumptions!$C$59*MIN(E33,Assumptions!E$202)</f>
        <v>1114.0625</v>
      </c>
      <c r="F35" s="116" t="n">
        <f aca="false">Assumptions!$C$58*MIN(F33,Assumptions!F$201)+Assumptions!$C$59*MIN(F33,Assumptions!F$202)</f>
        <v>1114.0625</v>
      </c>
      <c r="G35" s="116" t="n">
        <f aca="false">Assumptions!$C$58*MIN(G33,Assumptions!G$201)+Assumptions!$C$59*MIN(G33,Assumptions!G$202)</f>
        <v>1114.0625</v>
      </c>
      <c r="H35" s="116" t="n">
        <f aca="false">Assumptions!$C$58*MIN(H33,Assumptions!H$201)+Assumptions!$C$59*MIN(H33,Assumptions!H$202)</f>
        <v>1114.0625</v>
      </c>
      <c r="I35" s="116" t="n">
        <f aca="false">Assumptions!$C$58*MIN(I33,Assumptions!I$201)+Assumptions!$C$59*MIN(I33,Assumptions!I$202)</f>
        <v>1114.0625</v>
      </c>
      <c r="J35" s="116" t="n">
        <f aca="false">Assumptions!$C$58*MIN(J33,Assumptions!J$201)+Assumptions!$C$59*MIN(J33,Assumptions!J$202)</f>
        <v>1114.0625</v>
      </c>
      <c r="K35" s="116" t="n">
        <f aca="false">Assumptions!$C$58*MIN(K33,Assumptions!K$201)+Assumptions!$C$59*MIN(K33,Assumptions!K$202)</f>
        <v>1114.0625</v>
      </c>
      <c r="L35" s="116" t="n">
        <f aca="false">Assumptions!$C$58*MIN(L33,Assumptions!L$201)+Assumptions!$C$59*MIN(L33,Assumptions!L$202)</f>
        <v>1114.0625</v>
      </c>
      <c r="M35" s="116" t="n">
        <f aca="false">Assumptions!$C$58*MIN(M33,Assumptions!M$201)+Assumptions!$C$59*MIN(M33,Assumptions!M$202)</f>
        <v>1114.0625</v>
      </c>
      <c r="N35" s="116" t="n">
        <f aca="false">Assumptions!$C$58*MIN(N33,Assumptions!N$201)+Assumptions!$C$59*MIN(N33,Assumptions!N$202)</f>
        <v>1114.0625</v>
      </c>
      <c r="O35" s="116" t="n">
        <f aca="false">Assumptions!$C$58*MIN(O33,Assumptions!O$201)+Assumptions!$C$59*MIN(O33,Assumptions!O$202)</f>
        <v>1114.0625</v>
      </c>
      <c r="P35" s="116" t="n">
        <f aca="false">Assumptions!$C$58*MIN(P33,Assumptions!P$201)+Assumptions!$C$59*MIN(P33,Assumptions!P$202)</f>
        <v>1114.0625</v>
      </c>
      <c r="Q35" s="116" t="n">
        <f aca="false">Assumptions!$C$58*MIN(Q33,Assumptions!Q$201)+Assumptions!$C$59*MIN(Q33,Assumptions!Q$202)</f>
        <v>1158.625</v>
      </c>
      <c r="R35" s="116" t="n">
        <f aca="false">Assumptions!$C$58*MIN(R33,Assumptions!R$201)+Assumptions!$C$59*MIN(R33,Assumptions!R$202)</f>
        <v>1158.625</v>
      </c>
      <c r="S35" s="116" t="n">
        <f aca="false">Assumptions!$C$58*MIN(S33,Assumptions!S$201)+Assumptions!$C$59*MIN(S33,Assumptions!S$202)</f>
        <v>1158.625</v>
      </c>
      <c r="T35" s="116" t="n">
        <f aca="false">Assumptions!$C$58*MIN(T33,Assumptions!T$201)+Assumptions!$C$59*MIN(T33,Assumptions!T$202)</f>
        <v>1158.625</v>
      </c>
      <c r="U35" s="116" t="n">
        <f aca="false">Assumptions!$C$58*MIN(U33,Assumptions!U$201)+Assumptions!$C$59*MIN(U33,Assumptions!U$202)</f>
        <v>1158.625</v>
      </c>
      <c r="V35" s="116" t="n">
        <f aca="false">Assumptions!$C$58*MIN(V33,Assumptions!V$201)+Assumptions!$C$59*MIN(V33,Assumptions!V$202)</f>
        <v>1158.625</v>
      </c>
      <c r="W35" s="116" t="n">
        <f aca="false">Assumptions!$C$58*MIN(W33,Assumptions!W$201)+Assumptions!$C$59*MIN(W33,Assumptions!W$202)</f>
        <v>1158.625</v>
      </c>
      <c r="X35" s="116" t="n">
        <f aca="false">Assumptions!$C$58*MIN(X33,Assumptions!X$201)+Assumptions!$C$59*MIN(X33,Assumptions!X$202)</f>
        <v>1158.625</v>
      </c>
      <c r="Y35" s="116" t="n">
        <f aca="false">Assumptions!$C$58*MIN(Y33,Assumptions!Y$201)+Assumptions!$C$59*MIN(Y33,Assumptions!Y$202)</f>
        <v>1158.625</v>
      </c>
      <c r="Z35" s="116" t="n">
        <f aca="false">Assumptions!$C$58*MIN(Z33,Assumptions!Z$201)+Assumptions!$C$59*MIN(Z33,Assumptions!Z$202)</f>
        <v>1158.625</v>
      </c>
      <c r="AA35" s="116" t="n">
        <f aca="false">Assumptions!$C$58*MIN(AA33,Assumptions!AA$201)+Assumptions!$C$59*MIN(AA33,Assumptions!AA$202)</f>
        <v>1158.625</v>
      </c>
      <c r="AB35" s="116" t="n">
        <f aca="false">Assumptions!$C$58*MIN(AB33,Assumptions!AB$201)+Assumptions!$C$59*MIN(AB33,Assumptions!AB$202)</f>
        <v>1158.625</v>
      </c>
    </row>
    <row r="36" customFormat="false" ht="15" hidden="false" customHeight="false" outlineLevel="0" collapsed="false">
      <c r="A36" s="29" t="s">
        <v>1114</v>
      </c>
      <c r="B36" s="60" t="s">
        <v>1115</v>
      </c>
      <c r="C36" s="61" t="n">
        <f aca="false">SUM(E36:P36)</f>
        <v>0</v>
      </c>
      <c r="D36" s="61" t="n">
        <f aca="false">SUM(Q36:AB36)</f>
        <v>0</v>
      </c>
      <c r="E36" s="71" t="n">
        <f aca="false">0</f>
        <v>0</v>
      </c>
      <c r="F36" s="71" t="n">
        <f aca="false">0</f>
        <v>0</v>
      </c>
      <c r="G36" s="71" t="n">
        <f aca="false">0</f>
        <v>0</v>
      </c>
      <c r="H36" s="71" t="n">
        <f aca="false">0</f>
        <v>0</v>
      </c>
      <c r="I36" s="71" t="n">
        <f aca="false">0</f>
        <v>0</v>
      </c>
      <c r="J36" s="71" t="n">
        <f aca="false">0</f>
        <v>0</v>
      </c>
      <c r="K36" s="71" t="n">
        <f aca="false">0</f>
        <v>0</v>
      </c>
      <c r="L36" s="71" t="n">
        <f aca="false">0</f>
        <v>0</v>
      </c>
      <c r="M36" s="62" t="n">
        <f aca="false">IF(Assumptions!M$186=Assumptions!$F$178,Assumptions!$F$177*(INDEX(Inputs_Actuals!$E$122:$AB$122,Assumptions!$C$10)*M30+INDEX(Inputs_Actuals!$E$123:$AB$123,Assumptions!$C$10)*M33+INDEX(Inputs_Actuals!$E$127:$AB$127,Assumptions!$C$10)*M30+INDEX(Inputs_Actuals!$E$128:$AB$128,Assumptions!$C$10)*M33+INDEX(Inputs_Actuals!$E$132:$AB$132,Assumptions!$C$10)*M30+INDEX(Inputs_Actuals!$E$133:$AB$133,Assumptions!$C$10)*M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N36" s="62" t="n">
        <f aca="false">IF(Assumptions!N$186=Assumptions!$F$178,Assumptions!$F$177*(INDEX(Inputs_Actuals!$E$122:$AB$122,Assumptions!$C$10)*N30+INDEX(Inputs_Actuals!$E$123:$AB$123,Assumptions!$C$10)*N33+INDEX(Inputs_Actuals!$E$127:$AB$127,Assumptions!$C$10)*N30+INDEX(Inputs_Actuals!$E$128:$AB$128,Assumptions!$C$10)*N33+INDEX(Inputs_Actuals!$E$132:$AB$132,Assumptions!$C$10)*N30+INDEX(Inputs_Actuals!$E$133:$AB$133,Assumptions!$C$10)*N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O36" s="62" t="n">
        <f aca="false">IF(Assumptions!O$186=Assumptions!$F$178,Assumptions!$F$177*(INDEX(Inputs_Actuals!$E$122:$AB$122,Assumptions!$C$10)*O30+INDEX(Inputs_Actuals!$E$123:$AB$123,Assumptions!$C$10)*O33+INDEX(Inputs_Actuals!$E$127:$AB$127,Assumptions!$C$10)*O30+INDEX(Inputs_Actuals!$E$128:$AB$128,Assumptions!$C$10)*O33+INDEX(Inputs_Actuals!$E$132:$AB$132,Assumptions!$C$10)*O30+INDEX(Inputs_Actuals!$E$133:$AB$133,Assumptions!$C$10)*O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P36" s="62" t="n">
        <f aca="false">IF(Assumptions!P$186=Assumptions!$F$178,Assumptions!$F$177*(INDEX(Inputs_Actuals!$E$122:$AB$122,Assumptions!$C$10)*P30+INDEX(Inputs_Actuals!$E$123:$AB$123,Assumptions!$C$10)*P33+INDEX(Inputs_Actuals!$E$127:$AB$127,Assumptions!$C$10)*P30+INDEX(Inputs_Actuals!$E$128:$AB$128,Assumptions!$C$10)*P33+INDEX(Inputs_Actuals!$E$132:$AB$132,Assumptions!$C$10)*P30+INDEX(Inputs_Actuals!$E$133:$AB$133,Assumptions!$C$10)*P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Q36" s="62" t="n">
        <f aca="false">IF(Assumptions!Q$186=Assumptions!$F$178,Assumptions!$F$177*(INDEX(Inputs_Actuals!$E$122:$AB$122,Assumptions!$C$10)*Q30+INDEX(Inputs_Actuals!$E$123:$AB$123,Assumptions!$C$10)*Q33+INDEX(Inputs_Actuals!$E$127:$AB$127,Assumptions!$C$10)*Q30+INDEX(Inputs_Actuals!$E$128:$AB$128,Assumptions!$C$10)*Q33+INDEX(Inputs_Actuals!$E$132:$AB$132,Assumptions!$C$10)*Q30+INDEX(Inputs_Actuals!$E$133:$AB$133,Assumptions!$C$10)*Q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R36" s="62" t="n">
        <f aca="false">IF(Assumptions!R$186=Assumptions!$F$178,Assumptions!$F$177*(INDEX(Inputs_Actuals!$E$122:$AB$122,Assumptions!$C$10)*R30+INDEX(Inputs_Actuals!$E$123:$AB$123,Assumptions!$C$10)*R33+INDEX(Inputs_Actuals!$E$127:$AB$127,Assumptions!$C$10)*R30+INDEX(Inputs_Actuals!$E$128:$AB$128,Assumptions!$C$10)*R33+INDEX(Inputs_Actuals!$E$132:$AB$132,Assumptions!$C$10)*R30+INDEX(Inputs_Actuals!$E$133:$AB$133,Assumptions!$C$10)*R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S36" s="62" t="n">
        <f aca="false">IF(Assumptions!S$186=Assumptions!$F$178,Assumptions!$F$177*(INDEX(Inputs_Actuals!$E$122:$AB$122,Assumptions!$C$10)*S30+INDEX(Inputs_Actuals!$E$123:$AB$123,Assumptions!$C$10)*S33+INDEX(Inputs_Actuals!$E$127:$AB$127,Assumptions!$C$10)*S30+INDEX(Inputs_Actuals!$E$128:$AB$128,Assumptions!$C$10)*S33+INDEX(Inputs_Actuals!$E$132:$AB$132,Assumptions!$C$10)*S30+INDEX(Inputs_Actuals!$E$133:$AB$133,Assumptions!$C$10)*S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T36" s="62" t="n">
        <f aca="false">IF(Assumptions!T$186=Assumptions!$F$178,Assumptions!$F$177*(INDEX(Inputs_Actuals!$E$122:$AB$122,Assumptions!$C$10)*T30+INDEX(Inputs_Actuals!$E$123:$AB$123,Assumptions!$C$10)*T33+INDEX(Inputs_Actuals!$E$127:$AB$127,Assumptions!$C$10)*T30+INDEX(Inputs_Actuals!$E$128:$AB$128,Assumptions!$C$10)*T33+INDEX(Inputs_Actuals!$E$132:$AB$132,Assumptions!$C$10)*T30+INDEX(Inputs_Actuals!$E$133:$AB$133,Assumptions!$C$10)*T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U36" s="62" t="n">
        <f aca="false">IF(Assumptions!U$186=Assumptions!$F$178,Assumptions!$F$177*(INDEX(Inputs_Actuals!$E$122:$AB$122,Assumptions!$C$10)*U30+INDEX(Inputs_Actuals!$E$123:$AB$123,Assumptions!$C$10)*U33+INDEX(Inputs_Actuals!$E$127:$AB$127,Assumptions!$C$10)*U30+INDEX(Inputs_Actuals!$E$128:$AB$128,Assumptions!$C$10)*U33+INDEX(Inputs_Actuals!$E$132:$AB$132,Assumptions!$C$10)*U30+INDEX(Inputs_Actuals!$E$133:$AB$133,Assumptions!$C$10)*U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V36" s="62" t="n">
        <f aca="false">IF(Assumptions!V$186=Assumptions!$F$178,Assumptions!$F$177*(INDEX(Inputs_Actuals!$E$122:$AB$122,Assumptions!$C$10)*V30+INDEX(Inputs_Actuals!$E$123:$AB$123,Assumptions!$C$10)*V33+INDEX(Inputs_Actuals!$E$127:$AB$127,Assumptions!$C$10)*V30+INDEX(Inputs_Actuals!$E$128:$AB$128,Assumptions!$C$10)*V33+INDEX(Inputs_Actuals!$E$132:$AB$132,Assumptions!$C$10)*V30+INDEX(Inputs_Actuals!$E$133:$AB$133,Assumptions!$C$10)*V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W36" s="62" t="n">
        <f aca="false">IF(Assumptions!W$186=Assumptions!$F$178,Assumptions!$F$177*(INDEX(Inputs_Actuals!$E$122:$AB$122,Assumptions!$C$10)*W30+INDEX(Inputs_Actuals!$E$123:$AB$123,Assumptions!$C$10)*W33+INDEX(Inputs_Actuals!$E$127:$AB$127,Assumptions!$C$10)*W30+INDEX(Inputs_Actuals!$E$128:$AB$128,Assumptions!$C$10)*W33+INDEX(Inputs_Actuals!$E$132:$AB$132,Assumptions!$C$10)*W30+INDEX(Inputs_Actuals!$E$133:$AB$133,Assumptions!$C$10)*W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X36" s="62" t="n">
        <f aca="false">IF(Assumptions!X$186=Assumptions!$F$178,Assumptions!$F$177*(INDEX(Inputs_Actuals!$E$122:$AB$122,Assumptions!$C$10)*X30+INDEX(Inputs_Actuals!$E$123:$AB$123,Assumptions!$C$10)*X33+INDEX(Inputs_Actuals!$E$127:$AB$127,Assumptions!$C$10)*X30+INDEX(Inputs_Actuals!$E$128:$AB$128,Assumptions!$C$10)*X33+INDEX(Inputs_Actuals!$E$132:$AB$132,Assumptions!$C$10)*X30+INDEX(Inputs_Actuals!$E$133:$AB$133,Assumptions!$C$10)*X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Y36" s="62" t="n">
        <f aca="false">IF(Assumptions!Y$186=Assumptions!$F$178,Assumptions!$F$177*(INDEX(Inputs_Actuals!$E$122:$AB$122,Assumptions!$C$10)*Y30+INDEX(Inputs_Actuals!$E$123:$AB$123,Assumptions!$C$10)*Y33+INDEX(Inputs_Actuals!$E$127:$AB$127,Assumptions!$C$10)*Y30+INDEX(Inputs_Actuals!$E$128:$AB$128,Assumptions!$C$10)*Y33+INDEX(Inputs_Actuals!$E$132:$AB$132,Assumptions!$C$10)*Y30+INDEX(Inputs_Actuals!$E$133:$AB$133,Assumptions!$C$10)*Y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Z36" s="62" t="n">
        <f aca="false">IF(Assumptions!Z$186=Assumptions!$F$178,Assumptions!$F$177*(INDEX(Inputs_Actuals!$E$122:$AB$122,Assumptions!$C$10)*Z30+INDEX(Inputs_Actuals!$E$123:$AB$123,Assumptions!$C$10)*Z33+INDEX(Inputs_Actuals!$E$127:$AB$127,Assumptions!$C$10)*Z30+INDEX(Inputs_Actuals!$E$128:$AB$128,Assumptions!$C$10)*Z33+INDEX(Inputs_Actuals!$E$132:$AB$132,Assumptions!$C$10)*Z30+INDEX(Inputs_Actuals!$E$133:$AB$133,Assumptions!$C$10)*Z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AA36" s="62" t="n">
        <f aca="false">IF(Assumptions!AA$186=Assumptions!$F$178,Assumptions!$F$177*(INDEX(Inputs_Actuals!$E$122:$AB$122,Assumptions!$C$10)*AA30+INDEX(Inputs_Actuals!$E$123:$AB$123,Assumptions!$C$10)*AA33+INDEX(Inputs_Actuals!$E$127:$AB$127,Assumptions!$C$10)*AA30+INDEX(Inputs_Actuals!$E$128:$AB$128,Assumptions!$C$10)*AA33+INDEX(Inputs_Actuals!$E$132:$AB$132,Assumptions!$C$10)*AA30+INDEX(Inputs_Actuals!$E$133:$AB$133,Assumptions!$C$10)*AA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c r="AB36" s="62" t="n">
        <f aca="false">IF(Assumptions!AB$186=Assumptions!$F$178,Assumptions!$F$177*(INDEX(Inputs_Actuals!$E$122:$AB$122,Assumptions!$C$10)*AB30+INDEX(Inputs_Actuals!$E$123:$AB$123,Assumptions!$C$10)*AB33+INDEX(Inputs_Actuals!$E$127:$AB$127,Assumptions!$C$10)*AB30+INDEX(Inputs_Actuals!$E$128:$AB$128,Assumptions!$C$10)*AB33+INDEX(Inputs_Actuals!$E$132:$AB$132,Assumptions!$C$10)*AB30+INDEX(Inputs_Actuals!$E$133:$AB$133,Assumptions!$C$10)*AB33)/(INDEX(Inputs_Actuals!$E$122:$AB$122,Assumptions!$C$10)+INDEX(Inputs_Actuals!$E$123:$AB$123,Assumptions!$C$10)+INDEX(Inputs_Actuals!$E$127:$AB$127,Assumptions!$C$10)+INDEX(Inputs_Actuals!$E$128:$AB$128,Assumptions!$C$10)+INDEX(Inputs_Actuals!$E$132:$AB$132,Assumptions!$C$10)+INDEX(Inputs_Actuals!$E$133:$AB$133,Assumptions!$C$10))*Assumptions!$C$102*Assumptions!$C$101,0)</f>
        <v>0</v>
      </c>
    </row>
    <row r="37" customFormat="false" ht="15" hidden="false" customHeight="false" outlineLevel="0" collapsed="false">
      <c r="A37" s="23" t="s">
        <v>1116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row>
    <row r="38" customFormat="false" ht="15" hidden="false" customHeight="false" outlineLevel="0" collapsed="false">
      <c r="A38" s="29" t="s">
        <v>1117</v>
      </c>
      <c r="B38" s="60" t="s">
        <v>1118</v>
      </c>
      <c r="C38" s="66" t="n">
        <f aca="false">SUM(E38:P38)</f>
        <v>0</v>
      </c>
      <c r="D38" s="66" t="n">
        <f aca="false">SUM(Q38:AB38)</f>
        <v>0</v>
      </c>
      <c r="E38" s="72" t="n">
        <f aca="false">0</f>
        <v>0</v>
      </c>
      <c r="F38" s="72" t="n">
        <f aca="false">0</f>
        <v>0</v>
      </c>
      <c r="G38" s="72" t="n">
        <f aca="false">0</f>
        <v>0</v>
      </c>
      <c r="H38" s="72" t="n">
        <f aca="false">0</f>
        <v>0</v>
      </c>
      <c r="I38" s="72" t="n">
        <f aca="false">0</f>
        <v>0</v>
      </c>
      <c r="J38" s="72" t="n">
        <f aca="false">0</f>
        <v>0</v>
      </c>
      <c r="K38" s="72" t="n">
        <f aca="false">0</f>
        <v>0</v>
      </c>
      <c r="L38" s="72" t="n">
        <f aca="false">0</f>
        <v>0</v>
      </c>
      <c r="M38" s="67" t="n">
        <f aca="false">L40*Assumptions!$C$96*Assumptions!$F$173/12</f>
        <v>0</v>
      </c>
      <c r="N38" s="67" t="n">
        <f aca="false">M40*Assumptions!$C$96*Assumptions!$F$173/12</f>
        <v>0</v>
      </c>
      <c r="O38" s="67" t="n">
        <f aca="false">N40*Assumptions!$C$96*Assumptions!$F$173/12</f>
        <v>0</v>
      </c>
      <c r="P38" s="67" t="n">
        <f aca="false">O40*Assumptions!$C$96*Assumptions!$F$173/12</f>
        <v>0</v>
      </c>
      <c r="Q38" s="67" t="n">
        <f aca="false">P40*Assumptions!$C$96*Assumptions!$F$173/12</f>
        <v>0</v>
      </c>
      <c r="R38" s="67" t="n">
        <f aca="false">Q40*Assumptions!$C$96*Assumptions!$F$173/12</f>
        <v>0</v>
      </c>
      <c r="S38" s="67" t="n">
        <f aca="false">R40*Assumptions!$C$96*Assumptions!$F$173/12</f>
        <v>0</v>
      </c>
      <c r="T38" s="67" t="n">
        <f aca="false">S40*Assumptions!$C$96*Assumptions!$F$173/12</f>
        <v>0</v>
      </c>
      <c r="U38" s="67" t="n">
        <f aca="false">T40*Assumptions!$C$96*Assumptions!$F$173/12</f>
        <v>0</v>
      </c>
      <c r="V38" s="67" t="n">
        <f aca="false">U40*Assumptions!$C$96*Assumptions!$F$173/12</f>
        <v>0</v>
      </c>
      <c r="W38" s="67" t="n">
        <f aca="false">V40*Assumptions!$C$96*Assumptions!$F$173/12</f>
        <v>0</v>
      </c>
      <c r="X38" s="67" t="n">
        <f aca="false">W40*Assumptions!$C$96*Assumptions!$F$173/12</f>
        <v>0</v>
      </c>
      <c r="Y38" s="67" t="n">
        <f aca="false">X40*Assumptions!$C$96*Assumptions!$F$173/12</f>
        <v>0</v>
      </c>
      <c r="Z38" s="67" t="n">
        <f aca="false">Y40*Assumptions!$C$96*Assumptions!$F$173/12</f>
        <v>0</v>
      </c>
      <c r="AA38" s="67" t="n">
        <f aca="false">Z40*Assumptions!$C$96*Assumptions!$F$173/12</f>
        <v>0</v>
      </c>
      <c r="AB38" s="67" t="n">
        <f aca="false">AA40*Assumptions!$C$96*Assumptions!$F$173/12</f>
        <v>0</v>
      </c>
    </row>
    <row r="39" customFormat="false" ht="15" hidden="false" customHeight="false" outlineLevel="0" collapsed="false">
      <c r="A39" s="29" t="s">
        <v>1119</v>
      </c>
      <c r="B39" s="60" t="s">
        <v>1120</v>
      </c>
      <c r="C39" s="66" t="n">
        <f aca="false">SUM(E39:P39)</f>
        <v>0</v>
      </c>
      <c r="D39" s="66" t="n">
        <f aca="false">SUM(Q39:AB39)</f>
        <v>0</v>
      </c>
      <c r="E39" s="72" t="n">
        <f aca="false">0</f>
        <v>0</v>
      </c>
      <c r="F39" s="72" t="n">
        <f aca="false">0</f>
        <v>0</v>
      </c>
      <c r="G39" s="72" t="n">
        <f aca="false">0</f>
        <v>0</v>
      </c>
      <c r="H39" s="72" t="n">
        <f aca="false">0</f>
        <v>0</v>
      </c>
      <c r="I39" s="72" t="n">
        <f aca="false">0</f>
        <v>0</v>
      </c>
      <c r="J39" s="72" t="n">
        <f aca="false">0</f>
        <v>0</v>
      </c>
      <c r="K39" s="72" t="n">
        <f aca="false">0</f>
        <v>0</v>
      </c>
      <c r="L39" s="72" t="n">
        <f aca="false">0</f>
        <v>0</v>
      </c>
      <c r="M39" s="72" t="n">
        <f aca="false">0</f>
        <v>0</v>
      </c>
      <c r="N39" s="72" t="n">
        <f aca="false">0</f>
        <v>0</v>
      </c>
      <c r="O39" s="72" t="n">
        <f aca="false">0</f>
        <v>0</v>
      </c>
      <c r="P39" s="67" t="n">
        <f aca="false">M38*Assumptions!$F$174</f>
        <v>0</v>
      </c>
      <c r="Q39" s="67" t="n">
        <f aca="false">N38*Assumptions!$F$174</f>
        <v>0</v>
      </c>
      <c r="R39" s="67" t="n">
        <f aca="false">O38*Assumptions!$F$174</f>
        <v>0</v>
      </c>
      <c r="S39" s="67" t="n">
        <f aca="false">P38*Assumptions!$F$174</f>
        <v>0</v>
      </c>
      <c r="T39" s="67" t="n">
        <f aca="false">Q38*Assumptions!$F$174</f>
        <v>0</v>
      </c>
      <c r="U39" s="67" t="n">
        <f aca="false">R38*Assumptions!$F$174</f>
        <v>0</v>
      </c>
      <c r="V39" s="67" t="n">
        <f aca="false">S38*Assumptions!$F$174</f>
        <v>0</v>
      </c>
      <c r="W39" s="67" t="n">
        <f aca="false">T38*Assumptions!$F$174</f>
        <v>0</v>
      </c>
      <c r="X39" s="67" t="n">
        <f aca="false">U38*Assumptions!$F$174</f>
        <v>0</v>
      </c>
      <c r="Y39" s="67" t="n">
        <f aca="false">V38*Assumptions!$F$174</f>
        <v>0</v>
      </c>
      <c r="Z39" s="67" t="n">
        <f aca="false">W38*Assumptions!$F$174</f>
        <v>0</v>
      </c>
      <c r="AA39" s="67" t="n">
        <f aca="false">X38*Assumptions!$F$174</f>
        <v>0</v>
      </c>
      <c r="AB39" s="67" t="n">
        <f aca="false">Y38*Assumptions!$F$174</f>
        <v>0</v>
      </c>
    </row>
    <row r="40" customFormat="false" ht="15" hidden="false" customHeight="false" outlineLevel="0" collapsed="false">
      <c r="A40" s="29" t="s">
        <v>1121</v>
      </c>
      <c r="B40" s="60" t="s">
        <v>1122</v>
      </c>
      <c r="C40" s="66" t="n">
        <f aca="false">P40</f>
        <v>1</v>
      </c>
      <c r="D40" s="66" t="n">
        <f aca="false">AB40</f>
        <v>1</v>
      </c>
      <c r="E40" s="67" t="n">
        <f aca="false">IF(E$5="A",Inputs_Actuals!E119,Inputs_Actuals!E119-E38+E39)</f>
        <v>1</v>
      </c>
      <c r="F40" s="67" t="n">
        <f aca="false">IF(F$5="A",Inputs_Actuals!F119,E40-F38+F39)</f>
        <v>1</v>
      </c>
      <c r="G40" s="67" t="n">
        <f aca="false">IF(G$5="A",Inputs_Actuals!G119,F40-G38+G39)</f>
        <v>1</v>
      </c>
      <c r="H40" s="67" t="n">
        <f aca="false">IF(H$5="A",Inputs_Actuals!H119,G40-H38+H39)</f>
        <v>1</v>
      </c>
      <c r="I40" s="67" t="n">
        <f aca="false">IF(I$5="A",Inputs_Actuals!I119,H40-I38+I39)</f>
        <v>1</v>
      </c>
      <c r="J40" s="67" t="n">
        <f aca="false">IF(J$5="A",Inputs_Actuals!J119,I40-J38+J39)</f>
        <v>1</v>
      </c>
      <c r="K40" s="67" t="n">
        <f aca="false">IF(K$5="A",Inputs_Actuals!K119,J40-K38+K39)</f>
        <v>1</v>
      </c>
      <c r="L40" s="67" t="n">
        <f aca="false">IF(L$5="A",Inputs_Actuals!L119,K40-L38+L39)</f>
        <v>1</v>
      </c>
      <c r="M40" s="67" t="n">
        <f aca="false">IF(M$5="A",Inputs_Actuals!M119,L40-M38+M39)</f>
        <v>1</v>
      </c>
      <c r="N40" s="67" t="n">
        <f aca="false">IF(N$5="A",Inputs_Actuals!N119,M40-N38+N39)</f>
        <v>1</v>
      </c>
      <c r="O40" s="67" t="n">
        <f aca="false">IF(O$5="A",Inputs_Actuals!O119,N40-O38+O39)</f>
        <v>1</v>
      </c>
      <c r="P40" s="67" t="n">
        <f aca="false">IF(P$5="A",Inputs_Actuals!P119,O40-P38+P39)</f>
        <v>1</v>
      </c>
      <c r="Q40" s="67" t="n">
        <f aca="false">IF(Q$5="A",Inputs_Actuals!Q119,P40-Q38+Q39)</f>
        <v>1</v>
      </c>
      <c r="R40" s="67" t="n">
        <f aca="false">IF(R$5="A",Inputs_Actuals!R119,Q40-R38+R39)</f>
        <v>1</v>
      </c>
      <c r="S40" s="67" t="n">
        <f aca="false">IF(S$5="A",Inputs_Actuals!S119,R40-S38+S39)</f>
        <v>1</v>
      </c>
      <c r="T40" s="67" t="n">
        <f aca="false">IF(T$5="A",Inputs_Actuals!T119,S40-T38+T39)</f>
        <v>1</v>
      </c>
      <c r="U40" s="67" t="n">
        <f aca="false">IF(U$5="A",Inputs_Actuals!U119,T40-U38+U39)</f>
        <v>1</v>
      </c>
      <c r="V40" s="67" t="n">
        <f aca="false">IF(V$5="A",Inputs_Actuals!V119,U40-V38+V39)</f>
        <v>1</v>
      </c>
      <c r="W40" s="67" t="n">
        <f aca="false">IF(W$5="A",Inputs_Actuals!W119,V40-W38+W39)</f>
        <v>1</v>
      </c>
      <c r="X40" s="67" t="n">
        <f aca="false">IF(X$5="A",Inputs_Actuals!X119,W40-X38+X39)</f>
        <v>1</v>
      </c>
      <c r="Y40" s="67" t="n">
        <f aca="false">IF(Y$5="A",Inputs_Actuals!Y119,X40-Y38+Y39)</f>
        <v>1</v>
      </c>
      <c r="Z40" s="67" t="n">
        <f aca="false">IF(Z$5="A",Inputs_Actuals!Z119,Y40-Z38+Z39)</f>
        <v>1</v>
      </c>
      <c r="AA40" s="67" t="n">
        <f aca="false">IF(AA$5="A",Inputs_Actuals!AA119,Z40-AA38+AA39)</f>
        <v>1</v>
      </c>
      <c r="AB40" s="67" t="n">
        <f aca="false">IF(AB$5="A",Inputs_Actuals!AB119,AA40-AB38+AB39)</f>
        <v>1</v>
      </c>
    </row>
    <row r="41" customFormat="false" ht="15" hidden="false" customHeight="false" outlineLevel="0" collapsed="false">
      <c r="A41" s="29" t="s">
        <v>1123</v>
      </c>
      <c r="B41" s="60" t="s">
        <v>1118</v>
      </c>
      <c r="C41" s="66" t="n">
        <f aca="false">SUM(E41:P41)</f>
        <v>0.0165627890504437</v>
      </c>
      <c r="D41" s="66" t="n">
        <f aca="false">SUM(Q41:AB41)</f>
        <v>0.049382442875584</v>
      </c>
      <c r="E41" s="72" t="n">
        <f aca="false">0</f>
        <v>0</v>
      </c>
      <c r="F41" s="72" t="n">
        <f aca="false">0</f>
        <v>0</v>
      </c>
      <c r="G41" s="72" t="n">
        <f aca="false">0</f>
        <v>0</v>
      </c>
      <c r="H41" s="72" t="n">
        <f aca="false">0</f>
        <v>0</v>
      </c>
      <c r="I41" s="72" t="n">
        <f aca="false">0</f>
        <v>0</v>
      </c>
      <c r="J41" s="72" t="n">
        <f aca="false">0</f>
        <v>0</v>
      </c>
      <c r="K41" s="72" t="n">
        <f aca="false">0</f>
        <v>0</v>
      </c>
      <c r="L41" s="72" t="n">
        <f aca="false">0</f>
        <v>0</v>
      </c>
      <c r="M41" s="67" t="n">
        <f aca="false">L43*Assumptions!$C$97*Assumptions!$F$173/12</f>
        <v>0.00416666666666667</v>
      </c>
      <c r="N41" s="67" t="n">
        <f aca="false">M43*Assumptions!$C$97*Assumptions!$F$173/12</f>
        <v>0.00414930555555556</v>
      </c>
      <c r="O41" s="67" t="n">
        <f aca="false">N43*Assumptions!$C$97*Assumptions!$F$173/12</f>
        <v>0.00413201678240741</v>
      </c>
      <c r="P41" s="67" t="n">
        <f aca="false">O43*Assumptions!$C$97*Assumptions!$F$173/12</f>
        <v>0.00411480004581404</v>
      </c>
      <c r="Q41" s="67" t="n">
        <f aca="false">P43*Assumptions!$C$97*Assumptions!$F$173/12</f>
        <v>0.00411501615673426</v>
      </c>
      <c r="R41" s="67" t="n">
        <f aca="false">Q43*Assumptions!$C$97*Assumptions!$F$173/12</f>
        <v>0.00411515902922935</v>
      </c>
      <c r="S41" s="67" t="n">
        <f aca="false">R43*Assumptions!$C$97*Assumptions!$F$173/12</f>
        <v>0.00411522926986759</v>
      </c>
      <c r="T41" s="67" t="n">
        <f aca="false">S43*Assumptions!$C$97*Assumptions!$F$173/12</f>
        <v>0.00411522748143404</v>
      </c>
      <c r="U41" s="67" t="n">
        <f aca="false">T43*Assumptions!$C$97*Assumptions!$F$173/12</f>
        <v>0.00411522660091445</v>
      </c>
      <c r="V41" s="67" t="n">
        <f aca="false">U43*Assumptions!$C$97*Assumptions!$F$173/12</f>
        <v>0.00411522631936577</v>
      </c>
      <c r="W41" s="67" t="n">
        <f aca="false">V43*Assumptions!$C$97*Assumptions!$F$173/12</f>
        <v>0.00411522633165952</v>
      </c>
      <c r="X41" s="67" t="n">
        <f aca="false">W43*Assumptions!$C$97*Assumptions!$F$173/12</f>
        <v>0.00411522633645025</v>
      </c>
      <c r="Y41" s="67" t="n">
        <f aca="false">X43*Assumptions!$C$97*Assumptions!$F$173/12</f>
        <v>0.00411522633755219</v>
      </c>
      <c r="Z41" s="67" t="n">
        <f aca="false">Y43*Assumptions!$C$97*Assumptions!$F$173/12</f>
        <v>0.00411522633747641</v>
      </c>
      <c r="AA41" s="67" t="n">
        <f aca="false">Z43*Assumptions!$C$97*Assumptions!$F$173/12</f>
        <v>0.00411522633745217</v>
      </c>
      <c r="AB41" s="67" t="n">
        <f aca="false">AA43*Assumptions!$C$97*Assumptions!$F$173/12</f>
        <v>0.004115226337448</v>
      </c>
    </row>
    <row r="42" customFormat="false" ht="15" hidden="false" customHeight="false" outlineLevel="0" collapsed="false">
      <c r="A42" s="29" t="s">
        <v>1124</v>
      </c>
      <c r="B42" s="60" t="s">
        <v>1120</v>
      </c>
      <c r="C42" s="66" t="n">
        <f aca="false">SUM(E42:P42)</f>
        <v>0.00416666666666667</v>
      </c>
      <c r="D42" s="66" t="n">
        <f aca="false">SUM(Q42:AB42)</f>
        <v>0.0494328862469844</v>
      </c>
      <c r="E42" s="72" t="n">
        <f aca="false">0</f>
        <v>0</v>
      </c>
      <c r="F42" s="72" t="n">
        <f aca="false">0</f>
        <v>0</v>
      </c>
      <c r="G42" s="72" t="n">
        <f aca="false">0</f>
        <v>0</v>
      </c>
      <c r="H42" s="72" t="n">
        <f aca="false">0</f>
        <v>0</v>
      </c>
      <c r="I42" s="72" t="n">
        <f aca="false">0</f>
        <v>0</v>
      </c>
      <c r="J42" s="72" t="n">
        <f aca="false">0</f>
        <v>0</v>
      </c>
      <c r="K42" s="72" t="n">
        <f aca="false">0</f>
        <v>0</v>
      </c>
      <c r="L42" s="72" t="n">
        <f aca="false">0</f>
        <v>0</v>
      </c>
      <c r="M42" s="72" t="n">
        <f aca="false">0</f>
        <v>0</v>
      </c>
      <c r="N42" s="72" t="n">
        <f aca="false">0</f>
        <v>0</v>
      </c>
      <c r="O42" s="72" t="n">
        <f aca="false">0</f>
        <v>0</v>
      </c>
      <c r="P42" s="67" t="n">
        <f aca="false">M41*Assumptions!$F$174</f>
        <v>0.00416666666666667</v>
      </c>
      <c r="Q42" s="67" t="n">
        <f aca="false">N41*Assumptions!$F$174</f>
        <v>0.00414930555555556</v>
      </c>
      <c r="R42" s="67" t="n">
        <f aca="false">O41*Assumptions!$F$174</f>
        <v>0.00413201678240741</v>
      </c>
      <c r="S42" s="67" t="n">
        <f aca="false">P41*Assumptions!$F$174</f>
        <v>0.00411480004581404</v>
      </c>
      <c r="T42" s="67" t="n">
        <f aca="false">Q41*Assumptions!$F$174</f>
        <v>0.00411501615673426</v>
      </c>
      <c r="U42" s="67" t="n">
        <f aca="false">R41*Assumptions!$F$174</f>
        <v>0.00411515902922935</v>
      </c>
      <c r="V42" s="67" t="n">
        <f aca="false">S41*Assumptions!$F$174</f>
        <v>0.00411522926986759</v>
      </c>
      <c r="W42" s="67" t="n">
        <f aca="false">T41*Assumptions!$F$174</f>
        <v>0.00411522748143404</v>
      </c>
      <c r="X42" s="67" t="n">
        <f aca="false">U41*Assumptions!$F$174</f>
        <v>0.00411522660091445</v>
      </c>
      <c r="Y42" s="67" t="n">
        <f aca="false">V41*Assumptions!$F$174</f>
        <v>0.00411522631936577</v>
      </c>
      <c r="Z42" s="67" t="n">
        <f aca="false">W41*Assumptions!$F$174</f>
        <v>0.00411522633165952</v>
      </c>
      <c r="AA42" s="67" t="n">
        <f aca="false">X41*Assumptions!$F$174</f>
        <v>0.00411522633645025</v>
      </c>
      <c r="AB42" s="67" t="n">
        <f aca="false">Y41*Assumptions!$F$174</f>
        <v>0.00411522633755219</v>
      </c>
    </row>
    <row r="43" customFormat="false" ht="15" hidden="false" customHeight="false" outlineLevel="0" collapsed="false">
      <c r="A43" s="29" t="s">
        <v>1125</v>
      </c>
      <c r="B43" s="60" t="s">
        <v>1122</v>
      </c>
      <c r="C43" s="66" t="n">
        <f aca="false">P43</f>
        <v>0.987603877616223</v>
      </c>
      <c r="D43" s="66" t="n">
        <f aca="false">AB43</f>
        <v>0.987654320987623</v>
      </c>
      <c r="E43" s="67" t="n">
        <f aca="false">IF(E$5="A",Inputs_Actuals!E120,Inputs_Actuals!E120-E41+E42)</f>
        <v>1</v>
      </c>
      <c r="F43" s="67" t="n">
        <f aca="false">IF(F$5="A",Inputs_Actuals!F120,E43-F41+F42)</f>
        <v>1</v>
      </c>
      <c r="G43" s="67" t="n">
        <f aca="false">IF(G$5="A",Inputs_Actuals!G120,F43-G41+G42)</f>
        <v>1</v>
      </c>
      <c r="H43" s="67" t="n">
        <f aca="false">IF(H$5="A",Inputs_Actuals!H120,G43-H41+H42)</f>
        <v>1</v>
      </c>
      <c r="I43" s="67" t="n">
        <f aca="false">IF(I$5="A",Inputs_Actuals!I120,H43-I41+I42)</f>
        <v>1</v>
      </c>
      <c r="J43" s="67" t="n">
        <f aca="false">IF(J$5="A",Inputs_Actuals!J120,I43-J41+J42)</f>
        <v>1</v>
      </c>
      <c r="K43" s="67" t="n">
        <f aca="false">IF(K$5="A",Inputs_Actuals!K120,J43-K41+K42)</f>
        <v>1</v>
      </c>
      <c r="L43" s="67" t="n">
        <f aca="false">IF(L$5="A",Inputs_Actuals!L120,K43-L41+L42)</f>
        <v>1</v>
      </c>
      <c r="M43" s="67" t="n">
        <f aca="false">IF(M$5="A",Inputs_Actuals!M120,L43-M41+M42)</f>
        <v>0.995833333333333</v>
      </c>
      <c r="N43" s="67" t="n">
        <f aca="false">IF(N$5="A",Inputs_Actuals!N120,M43-N41+N42)</f>
        <v>0.991684027777778</v>
      </c>
      <c r="O43" s="67" t="n">
        <f aca="false">IF(O$5="A",Inputs_Actuals!O120,N43-O41+O42)</f>
        <v>0.98755201099537</v>
      </c>
      <c r="P43" s="67" t="n">
        <f aca="false">IF(P$5="A",Inputs_Actuals!P120,O43-P41+P42)</f>
        <v>0.987603877616223</v>
      </c>
      <c r="Q43" s="67" t="n">
        <f aca="false">IF(Q$5="A",Inputs_Actuals!Q120,P43-Q41+Q42)</f>
        <v>0.987638167015044</v>
      </c>
      <c r="R43" s="67" t="n">
        <f aca="false">IF(R$5="A",Inputs_Actuals!R120,Q43-R41+R42)</f>
        <v>0.987655024768222</v>
      </c>
      <c r="S43" s="67" t="n">
        <f aca="false">IF(S$5="A",Inputs_Actuals!S120,R43-S41+S42)</f>
        <v>0.987654595544169</v>
      </c>
      <c r="T43" s="67" t="n">
        <f aca="false">IF(T$5="A",Inputs_Actuals!T120,S43-T41+T42)</f>
        <v>0.987654384219469</v>
      </c>
      <c r="U43" s="67" t="n">
        <f aca="false">IF(U$5="A",Inputs_Actuals!U120,T43-U41+U42)</f>
        <v>0.987654316647784</v>
      </c>
      <c r="V43" s="67" t="n">
        <f aca="false">IF(V$5="A",Inputs_Actuals!V120,U43-V41+V42)</f>
        <v>0.987654319598286</v>
      </c>
      <c r="W43" s="67" t="n">
        <f aca="false">IF(W$5="A",Inputs_Actuals!W120,V43-W41+W42)</f>
        <v>0.98765432074806</v>
      </c>
      <c r="X43" s="67" t="n">
        <f aca="false">IF(X$5="A",Inputs_Actuals!X120,W43-X41+X42)</f>
        <v>0.987654321012525</v>
      </c>
      <c r="Y43" s="67" t="n">
        <f aca="false">IF(Y$5="A",Inputs_Actuals!Y120,X43-Y41+Y42)</f>
        <v>0.987654320994338</v>
      </c>
      <c r="Z43" s="67" t="n">
        <f aca="false">IF(Z$5="A",Inputs_Actuals!Z120,Y43-Z41+Z42)</f>
        <v>0.987654320988521</v>
      </c>
      <c r="AA43" s="67" t="n">
        <f aca="false">IF(AA$5="A",Inputs_Actuals!AA120,Z43-AA41+AA42)</f>
        <v>0.987654320987519</v>
      </c>
      <c r="AB43" s="67" t="n">
        <f aca="false">IF(AB$5="A",Inputs_Actuals!AB120,AA43-AB41+AB42)</f>
        <v>0.987654320987623</v>
      </c>
    </row>
    <row r="44" customFormat="false" ht="15" hidden="false" customHeight="false" outlineLevel="0" collapsed="false">
      <c r="A44" s="29" t="s">
        <v>1126</v>
      </c>
      <c r="B44" s="60" t="s">
        <v>1118</v>
      </c>
      <c r="C44" s="66" t="n">
        <f aca="false">SUM(E44:P44)</f>
        <v>0.0987569299768519</v>
      </c>
      <c r="D44" s="66" t="n">
        <f aca="false">SUM(Q44:AB44)</f>
        <v>0.337590482286</v>
      </c>
      <c r="E44" s="72" t="n">
        <f aca="false">0</f>
        <v>0</v>
      </c>
      <c r="F44" s="72" t="n">
        <f aca="false">0</f>
        <v>0</v>
      </c>
      <c r="G44" s="72" t="n">
        <f aca="false">0</f>
        <v>0</v>
      </c>
      <c r="H44" s="72" t="n">
        <f aca="false">0</f>
        <v>0</v>
      </c>
      <c r="I44" s="72" t="n">
        <f aca="false">0</f>
        <v>0</v>
      </c>
      <c r="J44" s="72" t="n">
        <f aca="false">0</f>
        <v>0</v>
      </c>
      <c r="K44" s="72" t="n">
        <f aca="false">0</f>
        <v>0</v>
      </c>
      <c r="L44" s="72" t="n">
        <f aca="false">0</f>
        <v>0</v>
      </c>
      <c r="M44" s="67" t="n">
        <f aca="false">L46*Assumptions!$C$98*Assumptions!$F$173/12</f>
        <v>0.025</v>
      </c>
      <c r="N44" s="67" t="n">
        <f aca="false">M46*Assumptions!$C$98*Assumptions!$F$173/12</f>
        <v>0.0247916666666667</v>
      </c>
      <c r="O44" s="67" t="n">
        <f aca="false">N46*Assumptions!$C$98*Assumptions!$F$173/12</f>
        <v>0.0245850694444444</v>
      </c>
      <c r="P44" s="67" t="n">
        <f aca="false">O46*Assumptions!$C$98*Assumptions!$F$173/12</f>
        <v>0.0243801938657407</v>
      </c>
      <c r="Q44" s="67" t="n">
        <f aca="false">P46*Assumptions!$C$98*Assumptions!$F$173/12</f>
        <v>0.0243853589168596</v>
      </c>
      <c r="R44" s="67" t="n">
        <f aca="false">Q46*Assumptions!$C$98*Assumptions!$F$173/12</f>
        <v>0.0285554114814413</v>
      </c>
      <c r="S44" s="67" t="n">
        <f aca="false">R46*Assumptions!$C$98*Assumptions!$F$173/12</f>
        <v>0.0285223252977997</v>
      </c>
      <c r="T44" s="67" t="n">
        <f aca="false">S46*Assumptions!$C$98*Assumptions!$F$173/12</f>
        <v>0.0284878075358658</v>
      </c>
      <c r="U44" s="67" t="n">
        <f aca="false">T46*Assumptions!$C$98*Assumptions!$F$173/12</f>
        <v>0.0284536204640408</v>
      </c>
      <c r="V44" s="67" t="n">
        <f aca="false">U46*Assumptions!$C$98*Assumptions!$F$173/12</f>
        <v>0.0284544687225191</v>
      </c>
      <c r="W44" s="67" t="n">
        <f aca="false">V46*Assumptions!$C$98*Assumptions!$F$173/12</f>
        <v>0.0284550341939798</v>
      </c>
      <c r="X44" s="67" t="n">
        <f aca="false">W46*Assumptions!$C$98*Assumptions!$F$173/12</f>
        <v>0.0284553073051622</v>
      </c>
      <c r="Y44" s="67" t="n">
        <f aca="false">X46*Assumptions!$C$98*Assumptions!$F$173/12</f>
        <v>0.0284552932481528</v>
      </c>
      <c r="Z44" s="67" t="n">
        <f aca="false">Y46*Assumptions!$C$98*Assumptions!$F$173/12</f>
        <v>0.0284552863771059</v>
      </c>
      <c r="AA44" s="67" t="n">
        <f aca="false">Z46*Assumptions!$C$98*Assumptions!$F$173/12</f>
        <v>0.0284552842755798</v>
      </c>
      <c r="AB44" s="67" t="n">
        <f aca="false">AA46*Assumptions!$C$98*Assumptions!$F$173/12</f>
        <v>0.028455284467493</v>
      </c>
    </row>
    <row r="45" customFormat="false" ht="15" hidden="false" customHeight="false" outlineLevel="0" collapsed="false">
      <c r="A45" s="29" t="s">
        <v>1127</v>
      </c>
      <c r="B45" s="60" t="s">
        <v>1120</v>
      </c>
      <c r="C45" s="66" t="n">
        <f aca="false">SUM(E45:P45)</f>
        <v>0.025</v>
      </c>
      <c r="D45" s="66" t="n">
        <f aca="false">SUM(Q45:AB45)</f>
        <v>0.325981557142673</v>
      </c>
      <c r="E45" s="72" t="n">
        <f aca="false">0</f>
        <v>0</v>
      </c>
      <c r="F45" s="72" t="n">
        <f aca="false">0</f>
        <v>0</v>
      </c>
      <c r="G45" s="72" t="n">
        <f aca="false">0</f>
        <v>0</v>
      </c>
      <c r="H45" s="72" t="n">
        <f aca="false">0</f>
        <v>0</v>
      </c>
      <c r="I45" s="72" t="n">
        <f aca="false">0</f>
        <v>0</v>
      </c>
      <c r="J45" s="72" t="n">
        <f aca="false">0</f>
        <v>0</v>
      </c>
      <c r="K45" s="72" t="n">
        <f aca="false">0</f>
        <v>0</v>
      </c>
      <c r="L45" s="72" t="n">
        <f aca="false">0</f>
        <v>0</v>
      </c>
      <c r="M45" s="72" t="n">
        <f aca="false">0</f>
        <v>0</v>
      </c>
      <c r="N45" s="72" t="n">
        <f aca="false">0</f>
        <v>0</v>
      </c>
      <c r="O45" s="72" t="n">
        <f aca="false">0</f>
        <v>0</v>
      </c>
      <c r="P45" s="67" t="n">
        <f aca="false">M44*Assumptions!$F$174</f>
        <v>0.025</v>
      </c>
      <c r="Q45" s="67" t="n">
        <f aca="false">N44*Assumptions!$F$174</f>
        <v>0.0247916666666667</v>
      </c>
      <c r="R45" s="67" t="n">
        <f aca="false">O44*Assumptions!$F$174</f>
        <v>0.0245850694444444</v>
      </c>
      <c r="S45" s="67" t="n">
        <f aca="false">P44*Assumptions!$F$174</f>
        <v>0.0243801938657407</v>
      </c>
      <c r="T45" s="67" t="n">
        <f aca="false">Q44*Assumptions!$F$174</f>
        <v>0.0243853589168596</v>
      </c>
      <c r="U45" s="67" t="n">
        <f aca="false">R44*Assumptions!$F$174</f>
        <v>0.0285554114814413</v>
      </c>
      <c r="V45" s="67" t="n">
        <f aca="false">S44*Assumptions!$F$174</f>
        <v>0.0285223252977997</v>
      </c>
      <c r="W45" s="67" t="n">
        <f aca="false">T44*Assumptions!$F$174</f>
        <v>0.0284878075358658</v>
      </c>
      <c r="X45" s="67" t="n">
        <f aca="false">U44*Assumptions!$F$174</f>
        <v>0.0284536204640408</v>
      </c>
      <c r="Y45" s="67" t="n">
        <f aca="false">V44*Assumptions!$F$174</f>
        <v>0.0284544687225191</v>
      </c>
      <c r="Z45" s="67" t="n">
        <f aca="false">W44*Assumptions!$F$174</f>
        <v>0.0284550341939798</v>
      </c>
      <c r="AA45" s="67" t="n">
        <f aca="false">X44*Assumptions!$F$174</f>
        <v>0.0284553073051622</v>
      </c>
      <c r="AB45" s="67" t="n">
        <f aca="false">Y44*Assumptions!$F$174</f>
        <v>0.0284552932481528</v>
      </c>
    </row>
    <row r="46" customFormat="false" ht="15" hidden="false" customHeight="false" outlineLevel="0" collapsed="false">
      <c r="A46" s="29" t="s">
        <v>1128</v>
      </c>
      <c r="B46" s="60" t="s">
        <v>1122</v>
      </c>
      <c r="C46" s="66" t="n">
        <f aca="false">P46</f>
        <v>2.92624307002315</v>
      </c>
      <c r="D46" s="66" t="n">
        <f aca="false">AB46</f>
        <v>3.41463414487982</v>
      </c>
      <c r="E46" s="67" t="n">
        <f aca="false">IF(E$5="A",Inputs_Actuals!E121,Inputs_Actuals!E121+E13-E44+E45)</f>
        <v>3</v>
      </c>
      <c r="F46" s="67" t="n">
        <f aca="false">IF(F$5="A",Inputs_Actuals!F121,E46+F13-F44+F45)</f>
        <v>3</v>
      </c>
      <c r="G46" s="67" t="n">
        <f aca="false">IF(G$5="A",Inputs_Actuals!G121,F46+G13-G44+G45)</f>
        <v>3</v>
      </c>
      <c r="H46" s="67" t="n">
        <f aca="false">IF(H$5="A",Inputs_Actuals!H121,G46+H13-H44+H45)</f>
        <v>3</v>
      </c>
      <c r="I46" s="67" t="n">
        <f aca="false">IF(I$5="A",Inputs_Actuals!I121,H46+I13-I44+I45)</f>
        <v>3</v>
      </c>
      <c r="J46" s="67" t="n">
        <f aca="false">IF(J$5="A",Inputs_Actuals!J121,I46+J13-J44+J45)</f>
        <v>3</v>
      </c>
      <c r="K46" s="67" t="n">
        <f aca="false">IF(K$5="A",Inputs_Actuals!K121,J46+K13-K44+K45)</f>
        <v>3</v>
      </c>
      <c r="L46" s="67" t="n">
        <f aca="false">IF(L$5="A",Inputs_Actuals!L121,K46+L13-L44+L45)</f>
        <v>3</v>
      </c>
      <c r="M46" s="67" t="n">
        <f aca="false">IF(M$5="A",Inputs_Actuals!M121,L46+M13-M44+M45)</f>
        <v>2.975</v>
      </c>
      <c r="N46" s="67" t="n">
        <f aca="false">IF(N$5="A",Inputs_Actuals!N121,M46+N13-N44+N45)</f>
        <v>2.95020833333333</v>
      </c>
      <c r="O46" s="67" t="n">
        <f aca="false">IF(O$5="A",Inputs_Actuals!O121,N46+O13-O44+O45)</f>
        <v>2.92562326388889</v>
      </c>
      <c r="P46" s="67" t="n">
        <f aca="false">IF(P$5="A",Inputs_Actuals!P121,O46+P13-P44+P45)</f>
        <v>2.92624307002315</v>
      </c>
      <c r="Q46" s="67" t="n">
        <f aca="false">IF(Q$5="A",Inputs_Actuals!Q121,P46+Q13-Q44+Q45)</f>
        <v>3.42664937777296</v>
      </c>
      <c r="R46" s="67" t="n">
        <f aca="false">IF(R$5="A",Inputs_Actuals!R121,Q46+R13-R44+R45)</f>
        <v>3.42267903573596</v>
      </c>
      <c r="S46" s="67" t="n">
        <f aca="false">IF(S$5="A",Inputs_Actuals!S121,R46+S13-S44+S45)</f>
        <v>3.4185369043039</v>
      </c>
      <c r="T46" s="67" t="n">
        <f aca="false">IF(T$5="A",Inputs_Actuals!T121,S46+T13-T44+T45)</f>
        <v>3.41443445568489</v>
      </c>
      <c r="U46" s="67" t="n">
        <f aca="false">IF(U$5="A",Inputs_Actuals!U121,T46+U13-U44+U45)</f>
        <v>3.41453624670229</v>
      </c>
      <c r="V46" s="67" t="n">
        <f aca="false">IF(V$5="A",Inputs_Actuals!V121,U46+V13-V44+V45)</f>
        <v>3.41460410327757</v>
      </c>
      <c r="W46" s="67" t="n">
        <f aca="false">IF(W$5="A",Inputs_Actuals!W121,V46+W13-W44+W45)</f>
        <v>3.41463687661946</v>
      </c>
      <c r="X46" s="67" t="n">
        <f aca="false">IF(X$5="A",Inputs_Actuals!X121,W46+X13-X44+X45)</f>
        <v>3.41463518977834</v>
      </c>
      <c r="Y46" s="67" t="n">
        <f aca="false">IF(Y$5="A",Inputs_Actuals!Y121,X46+Y13-Y44+Y45)</f>
        <v>3.41463436525271</v>
      </c>
      <c r="Z46" s="67" t="n">
        <f aca="false">IF(Z$5="A",Inputs_Actuals!Z121,Y46+Z13-Z44+Z45)</f>
        <v>3.41463411306958</v>
      </c>
      <c r="AA46" s="67" t="n">
        <f aca="false">IF(AA$5="A",Inputs_Actuals!AA121,Z46+AA13-AA44+AA45)</f>
        <v>3.41463413609916</v>
      </c>
      <c r="AB46" s="67" t="n">
        <f aca="false">IF(AB$5="A",Inputs_Actuals!AB121,AA46+AB13-AB44+AB45)</f>
        <v>3.41463414487982</v>
      </c>
    </row>
    <row r="47" customFormat="false" ht="15" hidden="false" customHeight="false" outlineLevel="0" collapsed="false">
      <c r="A47" s="29" t="s">
        <v>1129</v>
      </c>
      <c r="B47" s="60" t="s">
        <v>1118</v>
      </c>
      <c r="C47" s="66" t="n">
        <f aca="false">SUM(E47:P47)</f>
        <v>0.19628115234375</v>
      </c>
      <c r="D47" s="66" t="n">
        <f aca="false">SUM(Q47:AB47)</f>
        <v>0.578286999783488</v>
      </c>
      <c r="E47" s="72" t="n">
        <f aca="false">0</f>
        <v>0</v>
      </c>
      <c r="F47" s="72" t="n">
        <f aca="false">0</f>
        <v>0</v>
      </c>
      <c r="G47" s="72" t="n">
        <f aca="false">0</f>
        <v>0</v>
      </c>
      <c r="H47" s="72" t="n">
        <f aca="false">0</f>
        <v>0</v>
      </c>
      <c r="I47" s="72" t="n">
        <f aca="false">0</f>
        <v>0</v>
      </c>
      <c r="J47" s="72" t="n">
        <f aca="false">0</f>
        <v>0</v>
      </c>
      <c r="K47" s="72" t="n">
        <f aca="false">0</f>
        <v>0</v>
      </c>
      <c r="L47" s="72" t="n">
        <f aca="false">0</f>
        <v>0</v>
      </c>
      <c r="M47" s="67" t="n">
        <f aca="false">L49*Assumptions!$C$99*Assumptions!$F$173/12</f>
        <v>0.05</v>
      </c>
      <c r="N47" s="67" t="n">
        <f aca="false">M49*Assumptions!$C$99*Assumptions!$F$173/12</f>
        <v>0.049375</v>
      </c>
      <c r="O47" s="67" t="n">
        <f aca="false">N49*Assumptions!$C$99*Assumptions!$F$173/12</f>
        <v>0.0487578125</v>
      </c>
      <c r="P47" s="67" t="n">
        <f aca="false">O49*Assumptions!$C$99*Assumptions!$F$173/12</f>
        <v>0.04814833984375</v>
      </c>
      <c r="Q47" s="67" t="n">
        <f aca="false">P49*Assumptions!$C$99*Assumptions!$F$173/12</f>
        <v>0.0481714855957031</v>
      </c>
      <c r="R47" s="67" t="n">
        <f aca="false">Q49*Assumptions!$C$99*Assumptions!$F$173/12</f>
        <v>0.0481865295257568</v>
      </c>
      <c r="S47" s="67" t="n">
        <f aca="false">R49*Assumptions!$C$99*Assumptions!$F$173/12</f>
        <v>0.0481936705629349</v>
      </c>
      <c r="T47" s="67" t="n">
        <f aca="false">S49*Assumptions!$C$99*Assumptions!$F$173/12</f>
        <v>0.0481931039289451</v>
      </c>
      <c r="U47" s="67" t="n">
        <f aca="false">T49*Assumptions!$C$99*Assumptions!$F$173/12</f>
        <v>0.0481928336997795</v>
      </c>
      <c r="V47" s="67" t="n">
        <f aca="false">U49*Assumptions!$C$99*Assumptions!$F$173/12</f>
        <v>0.0481927548976043</v>
      </c>
      <c r="W47" s="67" t="n">
        <f aca="false">V49*Assumptions!$C$99*Assumptions!$F$173/12</f>
        <v>0.0481927663434209</v>
      </c>
      <c r="X47" s="67" t="n">
        <f aca="false">W49*Assumptions!$C$99*Assumptions!$F$173/12</f>
        <v>0.0481927705632399</v>
      </c>
      <c r="Y47" s="67" t="n">
        <f aca="false">X49*Assumptions!$C$99*Assumptions!$F$173/12</f>
        <v>0.0481927713524467</v>
      </c>
      <c r="Z47" s="67" t="n">
        <f aca="false">Y49*Assumptions!$C$99*Assumptions!$F$173/12</f>
        <v>0.0481927711467612</v>
      </c>
      <c r="AA47" s="67" t="n">
        <f aca="false">Z49*Assumptions!$C$99*Assumptions!$F$173/12</f>
        <v>0.0481927710867194</v>
      </c>
      <c r="AB47" s="67" t="n">
        <f aca="false">AA49*Assumptions!$C$99*Assumptions!$F$173/12</f>
        <v>0.0481927710801759</v>
      </c>
    </row>
    <row r="48" customFormat="false" ht="15" hidden="false" customHeight="false" outlineLevel="0" collapsed="false">
      <c r="A48" s="29" t="s">
        <v>1130</v>
      </c>
      <c r="B48" s="60" t="s">
        <v>1120</v>
      </c>
      <c r="C48" s="66" t="n">
        <f aca="false">SUM(E48:P48)</f>
        <v>0.05</v>
      </c>
      <c r="D48" s="66" t="n">
        <f aca="false">SUM(Q48:AB48)</f>
        <v>0.579989838813581</v>
      </c>
      <c r="E48" s="72" t="n">
        <f aca="false">0</f>
        <v>0</v>
      </c>
      <c r="F48" s="72" t="n">
        <f aca="false">0</f>
        <v>0</v>
      </c>
      <c r="G48" s="72" t="n">
        <f aca="false">0</f>
        <v>0</v>
      </c>
      <c r="H48" s="72" t="n">
        <f aca="false">0</f>
        <v>0</v>
      </c>
      <c r="I48" s="72" t="n">
        <f aca="false">0</f>
        <v>0</v>
      </c>
      <c r="J48" s="72" t="n">
        <f aca="false">0</f>
        <v>0</v>
      </c>
      <c r="K48" s="72" t="n">
        <f aca="false">0</f>
        <v>0</v>
      </c>
      <c r="L48" s="72" t="n">
        <f aca="false">0</f>
        <v>0</v>
      </c>
      <c r="M48" s="72" t="n">
        <f aca="false">0</f>
        <v>0</v>
      </c>
      <c r="N48" s="72" t="n">
        <f aca="false">0</f>
        <v>0</v>
      </c>
      <c r="O48" s="72" t="n">
        <f aca="false">0</f>
        <v>0</v>
      </c>
      <c r="P48" s="67" t="n">
        <f aca="false">M47*Assumptions!$F$174</f>
        <v>0.05</v>
      </c>
      <c r="Q48" s="67" t="n">
        <f aca="false">N47*Assumptions!$F$174</f>
        <v>0.049375</v>
      </c>
      <c r="R48" s="67" t="n">
        <f aca="false">O47*Assumptions!$F$174</f>
        <v>0.0487578125</v>
      </c>
      <c r="S48" s="67" t="n">
        <f aca="false">P47*Assumptions!$F$174</f>
        <v>0.04814833984375</v>
      </c>
      <c r="T48" s="67" t="n">
        <f aca="false">Q47*Assumptions!$F$174</f>
        <v>0.0481714855957031</v>
      </c>
      <c r="U48" s="67" t="n">
        <f aca="false">R47*Assumptions!$F$174</f>
        <v>0.0481865295257568</v>
      </c>
      <c r="V48" s="67" t="n">
        <f aca="false">S47*Assumptions!$F$174</f>
        <v>0.0481936705629349</v>
      </c>
      <c r="W48" s="67" t="n">
        <f aca="false">T47*Assumptions!$F$174</f>
        <v>0.0481931039289451</v>
      </c>
      <c r="X48" s="67" t="n">
        <f aca="false">U47*Assumptions!$F$174</f>
        <v>0.0481928336997795</v>
      </c>
      <c r="Y48" s="67" t="n">
        <f aca="false">V47*Assumptions!$F$174</f>
        <v>0.0481927548976043</v>
      </c>
      <c r="Z48" s="67" t="n">
        <f aca="false">W47*Assumptions!$F$174</f>
        <v>0.0481927663434209</v>
      </c>
      <c r="AA48" s="67" t="n">
        <f aca="false">X47*Assumptions!$F$174</f>
        <v>0.0481927705632399</v>
      </c>
      <c r="AB48" s="67" t="n">
        <f aca="false">Y47*Assumptions!$F$174</f>
        <v>0.0481927713524467</v>
      </c>
    </row>
    <row r="49" customFormat="false" ht="15" hidden="false" customHeight="false" outlineLevel="0" collapsed="false">
      <c r="A49" s="29" t="s">
        <v>1131</v>
      </c>
      <c r="B49" s="60" t="s">
        <v>1132</v>
      </c>
      <c r="C49" s="66" t="n">
        <f aca="false">P49</f>
        <v>3.85371884765625</v>
      </c>
      <c r="D49" s="66" t="n">
        <f aca="false">AB49</f>
        <v>3.85542168668634</v>
      </c>
      <c r="E49" s="67" t="n">
        <f aca="false">IF(E$5="A",Inputs_Actuals!E122,Inputs_Actuals!E122-E47+E48-IF(Assumptions!E$186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4</v>
      </c>
      <c r="F49" s="67" t="n">
        <f aca="false">IF(F$5="A",Inputs_Actuals!F122,E49-F47+F48-IF(Assumptions!F$186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4</v>
      </c>
      <c r="G49" s="67" t="n">
        <f aca="false">IF(G$5="A",Inputs_Actuals!G122,F49-G47+G48-IF(Assumptions!G$186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4</v>
      </c>
      <c r="H49" s="67" t="n">
        <f aca="false">IF(H$5="A",Inputs_Actuals!H122,G49-H47+H48-IF(Assumptions!H$186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v>
      </c>
      <c r="I49" s="67" t="n">
        <f aca="false">IF(I$5="A",Inputs_Actuals!I122,H49-I47+I48-IF(Assumptions!I$186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v>
      </c>
      <c r="J49" s="67" t="n">
        <f aca="false">IF(J$5="A",Inputs_Actuals!J122,I49-J47+J48-IF(Assumptions!J$186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v>
      </c>
      <c r="K49" s="67" t="n">
        <f aca="false">IF(K$5="A",Inputs_Actuals!K122,J49-K47+K48-IF(Assumptions!K$186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4</v>
      </c>
      <c r="L49" s="67" t="n">
        <f aca="false">IF(L$5="A",Inputs_Actuals!L122,K49-L47+L48-IF(Assumptions!L$186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4</v>
      </c>
      <c r="M49" s="67" t="n">
        <f aca="false">IF(M$5="A",Inputs_Actuals!M122,L49-M47+M48-IF(Assumptions!M$186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3.95</v>
      </c>
      <c r="N49" s="67" t="n">
        <f aca="false">IF(N$5="A",Inputs_Actuals!N122,M49-N47+N48-IF(Assumptions!N$186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3.900625</v>
      </c>
      <c r="O49" s="67" t="n">
        <f aca="false">IF(O$5="A",Inputs_Actuals!O122,N49-O47+O48-IF(Assumptions!O$186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3.8518671875</v>
      </c>
      <c r="P49" s="67" t="n">
        <f aca="false">IF(P$5="A",Inputs_Actuals!P122,O49-P47+P48-IF(Assumptions!P$186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3.85371884765625</v>
      </c>
      <c r="Q49" s="67" t="n">
        <f aca="false">IF(Q$5="A",Inputs_Actuals!Q122,P49-Q47+Q48-IF(Assumptions!Q$186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3.85492236206055</v>
      </c>
      <c r="R49" s="67" t="n">
        <f aca="false">IF(R$5="A",Inputs_Actuals!R122,Q49-R47+R48-IF(Assumptions!R$186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3.85549364503479</v>
      </c>
      <c r="S49" s="67" t="n">
        <f aca="false">IF(S$5="A",Inputs_Actuals!S122,R49-S47+S48-IF(Assumptions!S$186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3.85544831431561</v>
      </c>
      <c r="T49" s="67" t="n">
        <f aca="false">IF(T$5="A",Inputs_Actuals!T122,S49-T47+T48-IF(Assumptions!T$186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3.85542669598236</v>
      </c>
      <c r="U49" s="67" t="n">
        <f aca="false">IF(U$5="A",Inputs_Actuals!U122,T49-U47+U48-IF(Assumptions!U$186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3.85542039180834</v>
      </c>
      <c r="V49" s="67" t="n">
        <f aca="false">IF(V$5="A",Inputs_Actuals!V122,U49-V47+V48-IF(Assumptions!V$186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3.85542130747367</v>
      </c>
      <c r="W49" s="67" t="n">
        <f aca="false">IF(W$5="A",Inputs_Actuals!W122,V49-W47+W48-IF(Assumptions!W$186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3.8554216450592</v>
      </c>
      <c r="X49" s="67" t="n">
        <f aca="false">IF(X$5="A",Inputs_Actuals!X122,W49-X47+X48-IF(Assumptions!X$186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3.85542170819573</v>
      </c>
      <c r="Y49" s="67" t="n">
        <f aca="false">IF(Y$5="A",Inputs_Actuals!Y122,X49-Y47+Y48-IF(Assumptions!Y$186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3.85542169174089</v>
      </c>
      <c r="Z49" s="67" t="n">
        <f aca="false">IF(Z$5="A",Inputs_Actuals!Z122,Y49-Z47+Z48-IF(Assumptions!Z$186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3.85542168693755</v>
      </c>
      <c r="AA49" s="67" t="n">
        <f aca="false">IF(AA$5="A",Inputs_Actuals!AA122,Z49-AA47+AA48-IF(Assumptions!AA$186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3.85542168641407</v>
      </c>
      <c r="AB49" s="67" t="n">
        <f aca="false">IF(AB$5="A",Inputs_Actuals!AB122,AA49-AB47+AB48-IF(Assumptions!AB$186=Assumptions!$F$178,Assumptions!$F$177*INDEX(Inputs_Actuals!$E$122:$AB$122,Assumptions!$C$10)/(INDEX(Inputs_Actuals!$E$122:$AB$122,Assumptions!$C$10)+INDEX(Inputs_Actuals!$E$123:$AB$123,Assumptions!$C$10)+INDEX(Inputs_Actuals!$E$127:$AB$127,Assumptions!$C$10)+INDEX(Inputs_Actuals!$E$128:$AB$128,Assumptions!$C$10)+INDEX(Inputs_Actuals!$E$132:$AB$132,Assumptions!$C$10)+INDEX(Inputs_Actuals!$E$133:$AB$133,Assumptions!$C$10)),0))</f>
        <v>3.85542168668634</v>
      </c>
    </row>
    <row r="50" customFormat="false" ht="15" hidden="false" customHeight="false" outlineLevel="0" collapsed="false">
      <c r="A50" s="29" t="s">
        <v>1133</v>
      </c>
      <c r="B50" s="60" t="s">
        <v>1118</v>
      </c>
      <c r="C50" s="66" t="n">
        <f aca="false">SUM(E50:P50)</f>
        <v>0.23331435546875</v>
      </c>
      <c r="D50" s="66" t="n">
        <f aca="false">SUM(Q50:AB50)</f>
        <v>0.759880845045253</v>
      </c>
      <c r="E50" s="72" t="n">
        <f aca="false">0</f>
        <v>0</v>
      </c>
      <c r="F50" s="72" t="n">
        <f aca="false">0</f>
        <v>0</v>
      </c>
      <c r="G50" s="72" t="n">
        <f aca="false">0</f>
        <v>0</v>
      </c>
      <c r="H50" s="72" t="n">
        <f aca="false">0</f>
        <v>0</v>
      </c>
      <c r="I50" s="72" t="n">
        <f aca="false">0</f>
        <v>0</v>
      </c>
      <c r="J50" s="72" t="n">
        <f aca="false">0</f>
        <v>0</v>
      </c>
      <c r="K50" s="72" t="n">
        <f aca="false">0</f>
        <v>0</v>
      </c>
      <c r="L50" s="72" t="n">
        <f aca="false">0</f>
        <v>0</v>
      </c>
      <c r="M50" s="67" t="n">
        <f aca="false">L52*Assumptions!$C$100*Assumptions!$F$173/12</f>
        <v>0.05</v>
      </c>
      <c r="N50" s="67" t="n">
        <f aca="false">M52*Assumptions!$C$100*Assumptions!$F$173/12</f>
        <v>0.061875</v>
      </c>
      <c r="O50" s="67" t="n">
        <f aca="false">N52*Assumptions!$C$100*Assumptions!$F$173/12</f>
        <v>0.0611015625</v>
      </c>
      <c r="P50" s="67" t="n">
        <f aca="false">O52*Assumptions!$C$100*Assumptions!$F$173/12</f>
        <v>0.06033779296875</v>
      </c>
      <c r="Q50" s="67" t="n">
        <f aca="false">P52*Assumptions!$C$100*Assumptions!$F$173/12</f>
        <v>0.0602085705566406</v>
      </c>
      <c r="R50" s="67" t="n">
        <f aca="false">Q52*Assumptions!$C$100*Assumptions!$F$173/12</f>
        <v>0.0602294009246826</v>
      </c>
      <c r="S50" s="67" t="n">
        <f aca="false">R52*Assumptions!$C$100*Assumptions!$F$173/12</f>
        <v>0.0602403029443741</v>
      </c>
      <c r="T50" s="67" t="n">
        <f aca="false">S52*Assumptions!$C$100*Assumptions!$F$173/12</f>
        <v>0.0602415215696788</v>
      </c>
      <c r="U50" s="67" t="n">
        <f aca="false">T52*Assumptions!$C$100*Assumptions!$F$173/12</f>
        <v>0.0602411096820158</v>
      </c>
      <c r="V50" s="67" t="n">
        <f aca="false">U52*Assumptions!$C$100*Assumptions!$F$173/12</f>
        <v>0.0602409633225491</v>
      </c>
      <c r="W50" s="67" t="n">
        <f aca="false">V52*Assumptions!$C$100*Assumptions!$F$173/12</f>
        <v>0.060240955067822</v>
      </c>
      <c r="X50" s="67" t="n">
        <f aca="false">W52*Assumptions!$C$100*Assumptions!$F$173/12</f>
        <v>0.0602409621490952</v>
      </c>
      <c r="Y50" s="67" t="n">
        <f aca="false">X52*Assumptions!$C$100*Assumptions!$F$173/12</f>
        <v>0.0602409639932567</v>
      </c>
      <c r="Z50" s="67" t="n">
        <f aca="false">Y52*Assumptions!$C$100*Assumptions!$F$173/12</f>
        <v>0.0727409639848728</v>
      </c>
      <c r="AA50" s="67" t="n">
        <f aca="false">Z52*Assumptions!$C$100*Assumptions!$F$173/12</f>
        <v>0.0725847138734097</v>
      </c>
      <c r="AB50" s="67" t="n">
        <f aca="false">AA52*Assumptions!$C$100*Assumptions!$F$173/12</f>
        <v>0.0724304169768558</v>
      </c>
    </row>
    <row r="51" customFormat="false" ht="15" hidden="false" customHeight="false" outlineLevel="0" collapsed="false">
      <c r="A51" s="29" t="s">
        <v>1134</v>
      </c>
      <c r="B51" s="60" t="s">
        <v>1120</v>
      </c>
      <c r="C51" s="66" t="n">
        <f aca="false">SUM(E51:P51)</f>
        <v>0.05</v>
      </c>
      <c r="D51" s="66" t="n">
        <f aca="false">SUM(Q51:AB51)</f>
        <v>0.725439105678865</v>
      </c>
      <c r="E51" s="72" t="n">
        <f aca="false">0</f>
        <v>0</v>
      </c>
      <c r="F51" s="72" t="n">
        <f aca="false">0</f>
        <v>0</v>
      </c>
      <c r="G51" s="72" t="n">
        <f aca="false">0</f>
        <v>0</v>
      </c>
      <c r="H51" s="72" t="n">
        <f aca="false">0</f>
        <v>0</v>
      </c>
      <c r="I51" s="72" t="n">
        <f aca="false">0</f>
        <v>0</v>
      </c>
      <c r="J51" s="72" t="n">
        <f aca="false">0</f>
        <v>0</v>
      </c>
      <c r="K51" s="72" t="n">
        <f aca="false">0</f>
        <v>0</v>
      </c>
      <c r="L51" s="72" t="n">
        <f aca="false">0</f>
        <v>0</v>
      </c>
      <c r="M51" s="72" t="n">
        <f aca="false">0</f>
        <v>0</v>
      </c>
      <c r="N51" s="72" t="n">
        <f aca="false">0</f>
        <v>0</v>
      </c>
      <c r="O51" s="72" t="n">
        <f aca="false">0</f>
        <v>0</v>
      </c>
      <c r="P51" s="67" t="n">
        <f aca="false">M50*Assumptions!$F$174</f>
        <v>0.05</v>
      </c>
      <c r="Q51" s="67" t="n">
        <f aca="false">N50*Assumptions!$F$174</f>
        <v>0.061875</v>
      </c>
      <c r="R51" s="67" t="n">
        <f aca="false">O50*Assumptions!$F$174</f>
        <v>0.0611015625</v>
      </c>
      <c r="S51" s="67" t="n">
        <f aca="false">P50*Assumptions!$F$174</f>
        <v>0.06033779296875</v>
      </c>
      <c r="T51" s="67" t="n">
        <f aca="false">Q50*Assumptions!$F$174</f>
        <v>0.0602085705566406</v>
      </c>
      <c r="U51" s="67" t="n">
        <f aca="false">R50*Assumptions!$F$174</f>
        <v>0.0602294009246826</v>
      </c>
      <c r="V51" s="67" t="n">
        <f aca="false">S50*Assumptions!$F$174</f>
        <v>0.0602403029443741</v>
      </c>
      <c r="W51" s="67" t="n">
        <f aca="false">T50*Assumptions!$F$174</f>
        <v>0.0602415215696788</v>
      </c>
      <c r="X51" s="67" t="n">
        <f aca="false">U50*Assumptions!$F$174</f>
        <v>0.0602411096820158</v>
      </c>
      <c r="Y51" s="67" t="n">
        <f aca="false">V50*Assumptions!$F$174</f>
        <v>0.0602409633225491</v>
      </c>
      <c r="Z51" s="67" t="n">
        <f aca="false">W50*Assumptions!$F$174</f>
        <v>0.060240955067822</v>
      </c>
      <c r="AA51" s="67" t="n">
        <f aca="false">X50*Assumptions!$F$174</f>
        <v>0.0602409621490952</v>
      </c>
      <c r="AB51" s="67" t="n">
        <f aca="false">Y50*Assumptions!$F$174</f>
        <v>0.0602409639932567</v>
      </c>
    </row>
    <row r="52" customFormat="false" ht="15" hidden="false" customHeight="false" outlineLevel="0" collapsed="false">
      <c r="A52" s="29" t="s">
        <v>1135</v>
      </c>
      <c r="B52" s="60" t="s">
        <v>1132</v>
      </c>
      <c r="C52" s="66" t="n">
        <f aca="false">P52</f>
        <v>4.81668564453125</v>
      </c>
      <c r="D52" s="66" t="n">
        <f aca="false">AB52</f>
        <v>5.78224390516486</v>
      </c>
      <c r="E52" s="67" t="n">
        <f aca="false">IF(E$5="A",Inputs_Actuals!E123,Inputs_Actuals!E123+E9+E15-E50+E51-IF(Assumptions!E$186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F52" s="67" t="n">
        <f aca="false">IF(F$5="A",Inputs_Actuals!F123,E52+F9+F15-F50+F51-IF(Assumptions!F$186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G52" s="67" t="n">
        <f aca="false">IF(G$5="A",Inputs_Actuals!G123,F52+G9+G15-G50+G51-IF(Assumptions!G$186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H52" s="67" t="n">
        <f aca="false">IF(H$5="A",Inputs_Actuals!H123,G52+H9+H15-H50+H51-IF(Assumptions!H$186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I52" s="67" t="n">
        <f aca="false">IF(I$5="A",Inputs_Actuals!I123,H52+I9+I15-I50+I51-IF(Assumptions!I$186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J52" s="67" t="n">
        <f aca="false">IF(J$5="A",Inputs_Actuals!J123,I52+J9+J15-J50+J51-IF(Assumptions!J$186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K52" s="67" t="n">
        <f aca="false">IF(K$5="A",Inputs_Actuals!K123,J52+K9+K15-K50+K51-IF(Assumptions!K$186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L52" s="67" t="n">
        <f aca="false">IF(L$5="A",Inputs_Actuals!L123,K52+L9+L15-L50+L51-IF(Assumptions!L$186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v>
      </c>
      <c r="M52" s="67" t="n">
        <f aca="false">IF(M$5="A",Inputs_Actuals!M123,L52+M9+M15-M50+M51-IF(Assumptions!M$186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4.95</v>
      </c>
      <c r="N52" s="67" t="n">
        <f aca="false">IF(N$5="A",Inputs_Actuals!N123,M52+N9+N15-N50+N51-IF(Assumptions!N$186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4.888125</v>
      </c>
      <c r="O52" s="67" t="n">
        <f aca="false">IF(O$5="A",Inputs_Actuals!O123,N52+O9+O15-O50+O51-IF(Assumptions!O$186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4.8270234375</v>
      </c>
      <c r="P52" s="67" t="n">
        <f aca="false">IF(P$5="A",Inputs_Actuals!P123,O52+P9+P15-P50+P51-IF(Assumptions!P$186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4.81668564453125</v>
      </c>
      <c r="Q52" s="67" t="n">
        <f aca="false">IF(Q$5="A",Inputs_Actuals!Q123,P52+Q9+Q15-Q50+Q51-IF(Assumptions!Q$186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4.81835207397461</v>
      </c>
      <c r="R52" s="67" t="n">
        <f aca="false">IF(R$5="A",Inputs_Actuals!R123,Q52+R9+R15-R50+R51-IF(Assumptions!R$186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4.81922423554993</v>
      </c>
      <c r="S52" s="67" t="n">
        <f aca="false">IF(S$5="A",Inputs_Actuals!S123,R52+S9+S15-S50+S51-IF(Assumptions!S$186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4.8193217255743</v>
      </c>
      <c r="T52" s="67" t="n">
        <f aca="false">IF(T$5="A",Inputs_Actuals!T123,S52+T9+T15-T50+T51-IF(Assumptions!T$186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4.81928877456127</v>
      </c>
      <c r="U52" s="67" t="n">
        <f aca="false">IF(U$5="A",Inputs_Actuals!U123,T52+U9+U15-U50+U51-IF(Assumptions!U$186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4.81927706580393</v>
      </c>
      <c r="V52" s="67" t="n">
        <f aca="false">IF(V$5="A",Inputs_Actuals!V123,U52+V9+V15-V50+V51-IF(Assumptions!V$186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4.81927640542576</v>
      </c>
      <c r="W52" s="67" t="n">
        <f aca="false">IF(W$5="A",Inputs_Actuals!W123,V52+W9+W15-W50+W51-IF(Assumptions!W$186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4.81927697192761</v>
      </c>
      <c r="X52" s="67" t="n">
        <f aca="false">IF(X$5="A",Inputs_Actuals!X123,W52+X9+X15-X50+X51-IF(Assumptions!X$186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4.81927711946053</v>
      </c>
      <c r="Y52" s="67" t="n">
        <f aca="false">IF(Y$5="A",Inputs_Actuals!Y123,X52+Y9+Y15-Y50+Y51-IF(Assumptions!Y$186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5.81927711878983</v>
      </c>
      <c r="Z52" s="67" t="n">
        <f aca="false">IF(Z$5="A",Inputs_Actuals!Z123,Y52+Z9+Z15-Z50+Z51-IF(Assumptions!Z$186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5.80677710987278</v>
      </c>
      <c r="AA52" s="67" t="n">
        <f aca="false">IF(AA$5="A",Inputs_Actuals!AA123,Z52+AA9+AA15-AA50+AA51-IF(Assumptions!AA$186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5.79443335814846</v>
      </c>
      <c r="AB52" s="67" t="n">
        <f aca="false">IF(AB$5="A",Inputs_Actuals!AB123,AA52+AB9+AB15-AB50+AB51-IF(Assumptions!AB$186=Assumptions!$F$178,Assumptions!$F$177*INDEX(Inputs_Actuals!$E$123:$AB$123,Assumptions!$C$10)/(INDEX(Inputs_Actuals!$E$122:$AB$122,Assumptions!$C$10)+INDEX(Inputs_Actuals!$E$123:$AB$123,Assumptions!$C$10)+INDEX(Inputs_Actuals!$E$127:$AB$127,Assumptions!$C$10)+INDEX(Inputs_Actuals!$E$128:$AB$128,Assumptions!$C$10)+INDEX(Inputs_Actuals!$E$132:$AB$132,Assumptions!$C$10)+INDEX(Inputs_Actuals!$E$133:$AB$133,Assumptions!$C$10)),0))</f>
        <v>5.78224390516486</v>
      </c>
    </row>
    <row r="53" customFormat="false" ht="15" hidden="false" customHeight="false" outlineLevel="0" collapsed="false">
      <c r="A53" s="29" t="s">
        <v>1136</v>
      </c>
      <c r="B53" s="60" t="s">
        <v>1137</v>
      </c>
      <c r="C53" s="61" t="n">
        <f aca="false">SUM(E53:P53)</f>
        <v>1265479.85022785</v>
      </c>
      <c r="D53" s="61" t="n">
        <f aca="false">SUM(Q53:AB53)</f>
        <v>1434603.18703167</v>
      </c>
      <c r="E53" s="62" t="n">
        <f aca="false">IF(E$5="A",Inputs_Actuals!E166,E40*E21+E43*E24+E46*E27+E49*E30+E52*E33)</f>
        <v>106029.75</v>
      </c>
      <c r="F53" s="62" t="n">
        <f aca="false">IF(F$5="A",Inputs_Actuals!F166,F40*F21+F43*F24+F46*F27+F49*F30+F52*F33)</f>
        <v>106197.37</v>
      </c>
      <c r="G53" s="62" t="n">
        <f aca="false">IF(G$5="A",Inputs_Actuals!G166,G40*G21+G43*G24+G46*G27+G49*G30+G52*G33)</f>
        <v>106182.46</v>
      </c>
      <c r="H53" s="62" t="n">
        <f aca="false">IF(H$5="A",Inputs_Actuals!H166,H40*H21+H43*H24+H46*H27+H49*H30+H52*H33)</f>
        <v>99431.84</v>
      </c>
      <c r="I53" s="62" t="n">
        <f aca="false">IF(I$5="A",Inputs_Actuals!I166,I40*I21+I43*I24+I46*I27+I49*I30+I52*I33)</f>
        <v>99088.01</v>
      </c>
      <c r="J53" s="62" t="n">
        <f aca="false">IF(J$5="A",Inputs_Actuals!J166,J40*J21+J43*J24+J46*J27+J49*J30+J52*J33)</f>
        <v>98802.39</v>
      </c>
      <c r="K53" s="62" t="n">
        <f aca="false">IF(K$5="A",Inputs_Actuals!K166,K40*K21+K43*K24+K46*K27+K49*K30+K52*K33)</f>
        <v>106089.57</v>
      </c>
      <c r="L53" s="62" t="n">
        <f aca="false">IF(L$5="A",Inputs_Actuals!L166,L40*L21+L43*L24+L46*L27+L49*L30+L52*L33)</f>
        <v>106146.89</v>
      </c>
      <c r="M53" s="62" t="n">
        <f aca="false">IF(M$5="A",Inputs_Actuals!M166,M40*M21+M43*M24+M46*M27+M49*M30+M52*M33)</f>
        <v>110565.972222222</v>
      </c>
      <c r="N53" s="62" t="n">
        <f aca="false">IF(N$5="A",Inputs_Actuals!N166,N40*N21+N43*N24+N46*N27+N49*N30+N52*N33)</f>
        <v>109618.249421296</v>
      </c>
      <c r="O53" s="62" t="n">
        <f aca="false">IF(O$5="A",Inputs_Actuals!O166,O40*O21+O43*O24+O46*O27+O49*O30+O52*O33)</f>
        <v>108680.971052758</v>
      </c>
      <c r="P53" s="62" t="n">
        <f aca="false">IF(P$5="A",Inputs_Actuals!P166,P40*P21+P43*P24+P46*P27+P49*P30+P52*P33)</f>
        <v>108646.377531578</v>
      </c>
      <c r="Q53" s="62" t="n">
        <f aca="false">IF(Q$5="A",Inputs_Actuals!Q166,Q40*Q21+Q43*Q24+Q46*Q27+Q49*Q30+Q52*Q33)</f>
        <v>117867.645338846</v>
      </c>
      <c r="R53" s="62" t="n">
        <f aca="false">IF(R$5="A",Inputs_Actuals!R166,R40*R21+R43*R24+R46*R27+R49*R30+R52*R33)</f>
        <v>117838.162262336</v>
      </c>
      <c r="S53" s="62" t="n">
        <f aca="false">IF(S$5="A",Inputs_Actuals!S166,S40*S21+S43*S24+S46*S27+S49*S30+S52*S33)</f>
        <v>117798.152310916</v>
      </c>
      <c r="T53" s="62" t="n">
        <f aca="false">IF(T$5="A",Inputs_Actuals!T166,T40*T21+T43*T24+T46*T27+T49*T30+T52*T33)</f>
        <v>117757.994433273</v>
      </c>
      <c r="U53" s="62" t="n">
        <f aca="false">IF(U$5="A",Inputs_Actuals!U166,U40*U21+U43*U24+U46*U27+U49*U30+U52*U33)</f>
        <v>117758.872824143</v>
      </c>
      <c r="V53" s="62" t="n">
        <f aca="false">IF(V$5="A",Inputs_Actuals!V166,V40*V21+V43*V24+V46*V27+V49*V30+V52*V33)</f>
        <v>117759.534533806</v>
      </c>
      <c r="W53" s="62" t="n">
        <f aca="false">IF(W$5="A",Inputs_Actuals!W166,W40*W21+W43*W24+W46*W27+W49*W30+W52*W33)</f>
        <v>117759.858165774</v>
      </c>
      <c r="X53" s="62" t="n">
        <f aca="false">IF(X$5="A",Inputs_Actuals!X166,X40*X21+X43*X24+X46*X27+X49*X30+X52*X33)</f>
        <v>117759.843048953</v>
      </c>
      <c r="Y53" s="62" t="n">
        <f aca="false">IF(Y$5="A",Inputs_Actuals!Y166,Y40*Y21+Y43*Y24+Y46*Y27+Y49*Y30+Y52*Y33)</f>
        <v>123176.501589986</v>
      </c>
      <c r="Z53" s="62" t="n">
        <f aca="false">IF(Z$5="A",Inputs_Actuals!Z166,Z40*Z21+Z43*Z24+Z46*Z27+Z49*Z30+Z52*Z33)</f>
        <v>123108.790725866</v>
      </c>
      <c r="AA53" s="62" t="n">
        <f aca="false">IF(AA$5="A",Inputs_Actuals!AA166,AA40*AA21+AA43*AA24+AA46*AA27+AA49*AA30+AA52*AA33)</f>
        <v>123041.928957121</v>
      </c>
      <c r="AB53" s="62" t="n">
        <f aca="false">IF(AB$5="A",Inputs_Actuals!AB166,AB40*AB21+AB43*AB24+AB46*AB27+AB49*AB30+AB52*AB33)</f>
        <v>122975.902840651</v>
      </c>
    </row>
    <row r="54" customFormat="false" ht="15" hidden="false" customHeight="false" outlineLevel="0" collapsed="false">
      <c r="A54" s="29" t="s">
        <v>1138</v>
      </c>
      <c r="B54" s="60" t="s">
        <v>1139</v>
      </c>
      <c r="C54" s="61" t="n">
        <f aca="false">SUM(E54:P54)</f>
        <v>212936.71481229</v>
      </c>
      <c r="D54" s="61" t="n">
        <f aca="false">SUM(Q54:AB54)</f>
        <v>248669.90720446</v>
      </c>
      <c r="E54" s="62" t="n">
        <f aca="false">IF(E$5="A",Inputs_Actuals!E167,E40*E22+E43*E25+E46*E28+E49*E31+E52*E34)</f>
        <v>17808.55</v>
      </c>
      <c r="F54" s="62" t="n">
        <f aca="false">IF(F$5="A",Inputs_Actuals!F167,F40*F22+F43*F25+F46*F28+F49*F31+F52*F34)</f>
        <v>17902.65</v>
      </c>
      <c r="G54" s="62" t="n">
        <f aca="false">IF(G$5="A",Inputs_Actuals!G167,G40*G22+G43*G25+G46*G28+G49*G31+G52*G34)</f>
        <v>17842.69</v>
      </c>
      <c r="H54" s="62" t="n">
        <f aca="false">IF(H$5="A",Inputs_Actuals!H167,H40*H22+H43*H25+H46*H28+H49*H31+H52*H34)</f>
        <v>16474.83</v>
      </c>
      <c r="I54" s="62" t="n">
        <f aca="false">IF(I$5="A",Inputs_Actuals!I167,I40*I22+I43*I25+I46*I28+I49*I31+I52*I34)</f>
        <v>16465.1</v>
      </c>
      <c r="J54" s="62" t="n">
        <f aca="false">IF(J$5="A",Inputs_Actuals!J167,J40*J22+J43*J25+J46*J28+J49*J31+J52*J34)</f>
        <v>16412.75</v>
      </c>
      <c r="K54" s="62" t="n">
        <f aca="false">IF(K$5="A",Inputs_Actuals!K167,K40*K22+K43*K25+K46*K28+K49*K31+K52*K34)</f>
        <v>17822.96</v>
      </c>
      <c r="L54" s="62" t="n">
        <f aca="false">IF(L$5="A",Inputs_Actuals!L167,L40*L22+L43*L25+L46*L28+L49*L31+L52*L34)</f>
        <v>17873.96</v>
      </c>
      <c r="M54" s="62" t="n">
        <f aca="false">IF(M$5="A",Inputs_Actuals!M167,M40*M22+M43*M25+M46*M28+M49*M31+M52*M34)</f>
        <v>18813.642453125</v>
      </c>
      <c r="N54" s="62" t="n">
        <f aca="false">IF(N$5="A",Inputs_Actuals!N167,N40*N22+N43*N25+N46*N28+N49*N31+N52*N34)</f>
        <v>18630.1584524957</v>
      </c>
      <c r="O54" s="62" t="n">
        <f aca="false">IF(O$5="A",Inputs_Actuals!O167,O40*O22+O43*O25+O46*O28+O49*O31+O52*O34)</f>
        <v>18448.75331715</v>
      </c>
      <c r="P54" s="62" t="n">
        <f aca="false">IF(P$5="A",Inputs_Actuals!P167,P40*P22+P43*P25+P46*P28+P49*P31+P52*P34)</f>
        <v>18440.670589519</v>
      </c>
      <c r="Q54" s="62" t="n">
        <f aca="false">IF(Q$5="A",Inputs_Actuals!Q167,Q40*Q22+Q43*Q25+Q46*Q28+Q49*Q31+Q52*Q34)</f>
        <v>20352.5932122464</v>
      </c>
      <c r="R54" s="62" t="n">
        <f aca="false">IF(R$5="A",Inputs_Actuals!R167,R40*R22+R43*R25+R46*R28+R49*R31+R52*R34)</f>
        <v>20347.8953946539</v>
      </c>
      <c r="S54" s="62" t="n">
        <f aca="false">IF(S$5="A",Inputs_Actuals!S167,S40*S22+S43*S25+S46*S28+S49*S31+S52*S34)</f>
        <v>20341.0619423294</v>
      </c>
      <c r="T54" s="62" t="n">
        <f aca="false">IF(T$5="A",Inputs_Actuals!T167,T40*T22+T43*T25+T46*T28+T49*T31+T52*T34)</f>
        <v>20334.17630635</v>
      </c>
      <c r="U54" s="62" t="n">
        <f aca="false">IF(U$5="A",Inputs_Actuals!U167,U40*U22+U43*U25+U46*U28+U49*U31+U52*U34)</f>
        <v>20334.3221992501</v>
      </c>
      <c r="V54" s="62" t="n">
        <f aca="false">IF(V$5="A",Inputs_Actuals!V167,V40*V22+V43*V25+V46*V28+V49*V31+V52*V34)</f>
        <v>20334.4354958574</v>
      </c>
      <c r="W54" s="62" t="n">
        <f aca="false">IF(W$5="A",Inputs_Actuals!W167,W40*W22+W43*W25+W46*W28+W49*W31+W52*W34)</f>
        <v>20334.4911025965</v>
      </c>
      <c r="X54" s="62" t="n">
        <f aca="false">IF(X$5="A",Inputs_Actuals!X167,X40*X22+X43*X25+X46*X28+X49*X31+X52*X34)</f>
        <v>20334.4885677771</v>
      </c>
      <c r="Y54" s="62" t="n">
        <f aca="false">IF(Y$5="A",Inputs_Actuals!Y167,Y40*Y22+Y43*Y25+Y46*Y28+Y49*Y31+Y52*Y34)</f>
        <v>21510.9871730437</v>
      </c>
      <c r="Z54" s="62" t="n">
        <f aca="false">IF(Z$5="A",Inputs_Actuals!Z167,Z40*Z22+Z43*Z25+Z46*Z28+Z49*Z31+Z52*Z34)</f>
        <v>21496.2804865499</v>
      </c>
      <c r="AA54" s="62" t="n">
        <f aca="false">IF(AA$5="A",Inputs_Actuals!AA167,AA40*AA22+AA43*AA25+AA46*AA28+AA49*AA31+AA52*AA34)</f>
        <v>21481.7581001265</v>
      </c>
      <c r="AB54" s="62" t="n">
        <f aca="false">IF(AB$5="A",Inputs_Actuals!AB167,AB40*AB22+AB43*AB25+AB46*AB28+AB49*AB31+AB52*AB34)</f>
        <v>21467.417223679</v>
      </c>
    </row>
    <row r="55" customFormat="false" ht="15" hidden="false" customHeight="false" outlineLevel="0" collapsed="false">
      <c r="A55" s="29" t="s">
        <v>1140</v>
      </c>
      <c r="B55" s="60" t="s">
        <v>1141</v>
      </c>
      <c r="C55" s="61" t="n">
        <f aca="false">SUM(E55:P55)</f>
        <v>208941.167921238</v>
      </c>
      <c r="D55" s="61" t="n">
        <f aca="false">SUM(Q55:AB55)</f>
        <v>244097.732471975</v>
      </c>
      <c r="E55" s="71" t="n">
        <f aca="false">E40*E23+E43*E26+E46*E29+E49*E32+E52*E35</f>
        <v>17511.9354166667</v>
      </c>
      <c r="F55" s="71" t="n">
        <f aca="false">F40*F23+F43*F26+F46*F29+F49*F32+F52*F35</f>
        <v>17511.9354166667</v>
      </c>
      <c r="G55" s="71" t="n">
        <f aca="false">G40*G23+G43*G26+G46*G29+G49*G32+G52*G35</f>
        <v>17511.9354166667</v>
      </c>
      <c r="H55" s="71" t="n">
        <f aca="false">H40*H23+H43*H26+H46*H29+H49*H32+H52*H35</f>
        <v>16151.6</v>
      </c>
      <c r="I55" s="71" t="n">
        <f aca="false">I40*I23+I43*I26+I46*I29+I49*I32+I52*I35</f>
        <v>16151.6</v>
      </c>
      <c r="J55" s="71" t="n">
        <f aca="false">J40*J23+J43*J26+J46*J29+J49*J32+J52*J35</f>
        <v>16151.6</v>
      </c>
      <c r="K55" s="71" t="n">
        <f aca="false">K40*K23+K43*K26+K46*K29+K49*K32+K52*K35</f>
        <v>17511.9354166667</v>
      </c>
      <c r="L55" s="71" t="n">
        <f aca="false">L40*L23+L43*L26+L46*L29+L49*L32+L52*L35</f>
        <v>17511.9354166667</v>
      </c>
      <c r="M55" s="71" t="n">
        <f aca="false">M40*M23+M43*M26+M46*M29+M49*M32+M52*M35</f>
        <v>18457.861015625</v>
      </c>
      <c r="N55" s="71" t="n">
        <f aca="false">N40*N23+N43*N26+N46*N29+N49*N32+N52*N35</f>
        <v>18277.6885350477</v>
      </c>
      <c r="O55" s="71" t="n">
        <f aca="false">O40*O23+O43*O26+O46*O29+O49*O32+O52*O35</f>
        <v>18099.5582431862</v>
      </c>
      <c r="P55" s="71" t="n">
        <f aca="false">P40*P23+P43*P26+P46*P29+P49*P32+P52*P35</f>
        <v>18091.5830440461</v>
      </c>
      <c r="Q55" s="71" t="n">
        <f aca="false">Q40*Q23+Q43*Q26+Q46*Q29+Q49*Q32+Q52*Q35</f>
        <v>19977.1008186128</v>
      </c>
      <c r="R55" s="71" t="n">
        <f aca="false">R40*R23+R43*R26+R46*R29+R49*R32+R52*R35</f>
        <v>19972.5116732224</v>
      </c>
      <c r="S55" s="71" t="n">
        <f aca="false">S40*S23+S43*S26+S46*S29+S49*S32+S52*S35</f>
        <v>19965.823233648</v>
      </c>
      <c r="T55" s="71" t="n">
        <f aca="false">T40*T23+T43*T26+T46*T29+T49*T32+T52*T35</f>
        <v>19959.0829302861</v>
      </c>
      <c r="U55" s="71" t="n">
        <f aca="false">U40*U23+U43*U26+U46*U29+U49*U32+U52*U35</f>
        <v>19959.2256194397</v>
      </c>
      <c r="V55" s="71" t="n">
        <f aca="false">V40*V23+V43*V26+V46*V29+V49*V32+V52*V35</f>
        <v>19959.3365193938</v>
      </c>
      <c r="W55" s="71" t="n">
        <f aca="false">W40*W23+W43*W26+W46*W29+W49*W32+W52*W35</f>
        <v>19959.3909554705</v>
      </c>
      <c r="X55" s="71" t="n">
        <f aca="false">X40*X23+X43*X26+X46*X29+X49*X32+X52*X35</f>
        <v>19959.3884756659</v>
      </c>
      <c r="Y55" s="71" t="n">
        <f aca="false">Y40*Y23+Y43*Y26+Y46*Y29+Y49*Y32+Y52*Y35</f>
        <v>21118.0121103461</v>
      </c>
      <c r="Z55" s="71" t="n">
        <f aca="false">Z40*Z23+Z43*Z26+Z46*Z29+Z49*Z32+Z52*Z35</f>
        <v>21103.5288704983</v>
      </c>
      <c r="AA55" s="71" t="n">
        <f aca="false">AA40*AA23+AA43*AA26+AA46*AA29+AA49*AA32+AA52*AA35</f>
        <v>21089.227127841</v>
      </c>
      <c r="AB55" s="71" t="n">
        <f aca="false">AB40*AB23+AB43*AB26+AB46*AB29+AB49*AB32+AB52*AB35</f>
        <v>21075.10413755</v>
      </c>
    </row>
    <row r="56" customFormat="false" ht="15" hidden="false" customHeight="false" outlineLevel="0" collapsed="false">
      <c r="A56" s="29" t="s">
        <v>1142</v>
      </c>
      <c r="B56" s="60" t="s">
        <v>1143</v>
      </c>
      <c r="C56" s="61" t="n">
        <f aca="false">SUM(E56:P56)</f>
        <v>353993.960558698</v>
      </c>
      <c r="D56" s="61" t="n">
        <f aca="false">SUM(Q56:AB56)</f>
        <v>397131.221884886</v>
      </c>
      <c r="E56" s="62" t="n">
        <f aca="false">E40*E21*Assumptions!$C$70+E43*E24*Assumptions!$C$71+E46*E27*Assumptions!$C$72+E49*E30*Assumptions!$C$73+E52*E33*Assumptions!$C$74</f>
        <v>29741.6666666667</v>
      </c>
      <c r="F56" s="62" t="n">
        <f aca="false">F40*F21*Assumptions!$C$70+F43*F24*Assumptions!$C$71+F46*F27*Assumptions!$C$72+F49*F30*Assumptions!$C$73+F52*F33*Assumptions!$C$74</f>
        <v>29741.6666666667</v>
      </c>
      <c r="G56" s="62" t="n">
        <f aca="false">G40*G21*Assumptions!$C$70+G43*G24*Assumptions!$C$71+G46*G27*Assumptions!$C$72+G49*G30*Assumptions!$C$73+G52*G33*Assumptions!$C$74</f>
        <v>29741.6666666667</v>
      </c>
      <c r="H56" s="62" t="n">
        <f aca="false">H40*H21*Assumptions!$C$70+H43*H24*Assumptions!$C$71+H46*H27*Assumptions!$C$72+H49*H30*Assumptions!$C$73+H52*H33*Assumptions!$C$74</f>
        <v>28012.5</v>
      </c>
      <c r="I56" s="62" t="n">
        <f aca="false">I40*I21*Assumptions!$C$70+I43*I24*Assumptions!$C$71+I46*I27*Assumptions!$C$72+I49*I30*Assumptions!$C$73+I52*I33*Assumptions!$C$74</f>
        <v>28012.5</v>
      </c>
      <c r="J56" s="62" t="n">
        <f aca="false">J40*J21*Assumptions!$C$70+J43*J24*Assumptions!$C$71+J46*J27*Assumptions!$C$72+J49*J30*Assumptions!$C$73+J52*J33*Assumptions!$C$74</f>
        <v>28012.5</v>
      </c>
      <c r="K56" s="62" t="n">
        <f aca="false">K40*K21*Assumptions!$C$70+K43*K24*Assumptions!$C$71+K46*K27*Assumptions!$C$72+K49*K30*Assumptions!$C$73+K52*K33*Assumptions!$C$74</f>
        <v>29741.6666666667</v>
      </c>
      <c r="L56" s="62" t="n">
        <f aca="false">L40*L21*Assumptions!$C$70+L43*L24*Assumptions!$C$71+L46*L27*Assumptions!$C$72+L49*L30*Assumptions!$C$73+L52*L33*Assumptions!$C$74</f>
        <v>29741.6666666667</v>
      </c>
      <c r="M56" s="62" t="n">
        <f aca="false">M40*M21*Assumptions!$C$70+M43*M24*Assumptions!$C$71+M46*M27*Assumptions!$C$72+M49*M30*Assumptions!$C$73+M52*M33*Assumptions!$C$74</f>
        <v>30609.1875</v>
      </c>
      <c r="N56" s="62" t="n">
        <f aca="false">N40*N21*Assumptions!$C$70+N43*N24*Assumptions!$C$71+N46*N27*Assumptions!$C$72+N49*N30*Assumptions!$C$73+N52*N33*Assumptions!$C$74</f>
        <v>30371.6872395833</v>
      </c>
      <c r="O56" s="62" t="n">
        <f aca="false">O40*O21*Assumptions!$C$70+O43*O24*Assumptions!$C$71+O46*O27*Assumptions!$C$72+O49*O30*Assumptions!$C$73+O52*O33*Assumptions!$C$74</f>
        <v>30136.731603371</v>
      </c>
      <c r="P56" s="62" t="n">
        <f aca="false">P40*P21*Assumptions!$C$70+P43*P24*Assumptions!$C$71+P46*P27*Assumptions!$C$72+P49*P30*Assumptions!$C$73+P52*P33*Assumptions!$C$74</f>
        <v>30130.5208824101</v>
      </c>
      <c r="Q56" s="62" t="n">
        <f aca="false">Q40*Q21*Assumptions!$C$70+Q43*Q24*Assumptions!$C$71+Q46*Q27*Assumptions!$C$72+Q49*Q30*Assumptions!$C$73+Q52*Q33*Assumptions!$C$74</f>
        <v>32748.5610600385</v>
      </c>
      <c r="R56" s="62" t="n">
        <f aca="false">R40*R21*Assumptions!$C$70+R43*R24*Assumptions!$C$71+R46*R27*Assumptions!$C$72+R49*R30*Assumptions!$C$73+R52*R33*Assumptions!$C$74</f>
        <v>32739.4775369257</v>
      </c>
      <c r="S56" s="62" t="n">
        <f aca="false">S40*S21*Assumptions!$C$70+S43*S24*Assumptions!$C$71+S46*S27*Assumptions!$C$72+S49*S30*Assumptions!$C$73+S52*S33*Assumptions!$C$74</f>
        <v>32727.8452223231</v>
      </c>
      <c r="T56" s="62" t="n">
        <f aca="false">T40*T21*Assumptions!$C$70+T43*T24*Assumptions!$C$71+T46*T27*Assumptions!$C$72+T49*T30*Assumptions!$C$73+T52*T33*Assumptions!$C$74</f>
        <v>32716.2198255399</v>
      </c>
      <c r="U56" s="62" t="n">
        <f aca="false">U40*U21*Assumptions!$C$70+U43*U24*Assumptions!$C$71+U46*U27*Assumptions!$C$72+U49*U30*Assumptions!$C$73+U52*U33*Assumptions!$C$74</f>
        <v>32716.4814110024</v>
      </c>
      <c r="V56" s="62" t="n">
        <f aca="false">V40*V21*Assumptions!$C$70+V43*V24*Assumptions!$C$71+V46*V27*Assumptions!$C$72+V49*V30*Assumptions!$C$73+V52*V33*Assumptions!$C$74</f>
        <v>32716.6733310558</v>
      </c>
      <c r="W56" s="62" t="n">
        <f aca="false">W40*W21*Assumptions!$C$70+W43*W24*Assumptions!$C$71+W46*W27*Assumptions!$C$72+W49*W30*Assumptions!$C$73+W52*W33*Assumptions!$C$74</f>
        <v>32716.7668423138</v>
      </c>
      <c r="X56" s="62" t="n">
        <f aca="false">X40*X21*Assumptions!$C$70+X43*X24*Assumptions!$C$71+X46*X27*Assumptions!$C$72+X49*X30*Assumptions!$C$73+X52*X33*Assumptions!$C$74</f>
        <v>32716.7623764774</v>
      </c>
      <c r="Y56" s="62" t="n">
        <f aca="false">Y40*Y21*Assumptions!$C$70+Y43*Y24*Assumptions!$C$71+Y46*Y27*Assumptions!$C$72+Y49*Y30*Assumptions!$C$73+Y52*Y33*Assumptions!$C$74</f>
        <v>33854.2600250594</v>
      </c>
      <c r="Z56" s="62" t="n">
        <f aca="false">Z40*Z21*Assumptions!$C$70+Z43*Z24*Assumptions!$C$71+Z46*Z27*Assumptions!$C$72+Z49*Z30*Assumptions!$C$73+Z52*Z33*Assumptions!$C$74</f>
        <v>33840.0405463743</v>
      </c>
      <c r="AA56" s="62" t="n">
        <f aca="false">AA40*AA21*Assumptions!$C$70+AA43*AA24*Assumptions!$C$71+AA46*AA27*Assumptions!$C$72+AA49*AA30*Assumptions!$C$73+AA52*AA33*Assumptions!$C$74</f>
        <v>33825.9995926689</v>
      </c>
      <c r="AB56" s="62" t="n">
        <f aca="false">AB40*AB21*Assumptions!$C$70+AB43*AB24*Assumptions!$C$71+AB46*AB27*Assumptions!$C$72+AB49*AB30*Assumptions!$C$73+AB52*AB33*Assumptions!$C$74</f>
        <v>33812.1341151071</v>
      </c>
    </row>
    <row r="57" customFormat="false" ht="15" hidden="false" customHeight="false" outlineLevel="0" collapsed="false">
      <c r="A57" s="29" t="s">
        <v>1144</v>
      </c>
      <c r="B57" s="60" t="s">
        <v>1145</v>
      </c>
      <c r="C57" s="61" t="n">
        <f aca="false">SUM(E57:P57)</f>
        <v>116229.125816428</v>
      </c>
      <c r="D57" s="61" t="n">
        <f aca="false">SUM(Q57:AB57)</f>
        <v>145494.189125903</v>
      </c>
      <c r="E57" s="62" t="n">
        <f aca="false">(E40*E21*Assumptions!$E$64+E43*E24*Assumptions!$E$65+E46*E27*Assumptions!$E$66+E49*E30*Assumptions!$E$67+E52*E33*Assumptions!$E$68)*E20</f>
        <v>9095.91666666667</v>
      </c>
      <c r="F57" s="62" t="n">
        <f aca="false">(F40*F21*Assumptions!$E$64+F43*F24*Assumptions!$E$65+F46*F27*Assumptions!$E$66+F49*F30*Assumptions!$E$67+F52*F33*Assumptions!$E$68)*F20</f>
        <v>9095.91666666667</v>
      </c>
      <c r="G57" s="62" t="n">
        <f aca="false">(G40*G21*Assumptions!$E$64+G43*G24*Assumptions!$E$65+G46*G27*Assumptions!$E$66+G49*G30*Assumptions!$E$67+G52*G33*Assumptions!$E$68)*G20</f>
        <v>9095.91666666667</v>
      </c>
      <c r="H57" s="62" t="n">
        <f aca="false">(H40*H21*Assumptions!$E$64+H43*H24*Assumptions!$E$65+H46*H27*Assumptions!$E$66+H49*H30*Assumptions!$E$67+H52*H33*Assumptions!$E$68)*H20</f>
        <v>8708.58333333333</v>
      </c>
      <c r="I57" s="62" t="n">
        <f aca="false">(I40*I21*Assumptions!$E$64+I43*I24*Assumptions!$E$65+I46*I27*Assumptions!$E$66+I49*I30*Assumptions!$E$67+I52*I33*Assumptions!$E$68)*I20</f>
        <v>8708.58333333333</v>
      </c>
      <c r="J57" s="62" t="n">
        <f aca="false">(J40*J21*Assumptions!$E$64+J43*J24*Assumptions!$E$65+J46*J27*Assumptions!$E$66+J49*J30*Assumptions!$E$67+J52*J33*Assumptions!$E$68)*J20</f>
        <v>8708.58333333333</v>
      </c>
      <c r="K57" s="62" t="n">
        <f aca="false">(K40*K21*Assumptions!$E$64+K43*K24*Assumptions!$E$65+K46*K27*Assumptions!$E$66+K49*K30*Assumptions!$E$67+K52*K33*Assumptions!$E$68)*K20</f>
        <v>9095.91666666667</v>
      </c>
      <c r="L57" s="62" t="n">
        <f aca="false">(L40*L21*Assumptions!$E$64+L43*L24*Assumptions!$E$65+L46*L27*Assumptions!$E$66+L49*L30*Assumptions!$E$67+L52*L33*Assumptions!$E$68)*L20</f>
        <v>9095.91666666667</v>
      </c>
      <c r="M57" s="62" t="n">
        <f aca="false">(M40*M21*Assumptions!$E$64+M43*M24*Assumptions!$E$65+M46*M27*Assumptions!$E$66+M49*M30*Assumptions!$E$67+M52*M33*Assumptions!$E$68)*M20</f>
        <v>11243.3395833333</v>
      </c>
      <c r="N57" s="62" t="n">
        <f aca="false">(N40*N21*Assumptions!$E$64+N43*N24*Assumptions!$E$65+N46*N27*Assumptions!$E$66+N49*N30*Assumptions!$E$67+N52*N33*Assumptions!$E$68)*N20</f>
        <v>11173.3785329861</v>
      </c>
      <c r="O57" s="62" t="n">
        <f aca="false">(O40*O21*Assumptions!$E$64+O43*O24*Assumptions!$E$65+O46*O27*Assumptions!$E$66+O49*O30*Assumptions!$E$67+O52*O33*Assumptions!$E$68)*O20</f>
        <v>11104.1378127532</v>
      </c>
      <c r="P57" s="62" t="n">
        <f aca="false">(P40*P21*Assumptions!$E$64+P43*P24*Assumptions!$E$65+P46*P27*Assumptions!$E$66+P49*P30*Assumptions!$E$67+P52*P33*Assumptions!$E$68)*P20</f>
        <v>11102.9365540218</v>
      </c>
      <c r="Q57" s="62" t="n">
        <f aca="false">(Q40*Q21*Assumptions!$E$64+Q43*Q24*Assumptions!$E$65+Q46*Q27*Assumptions!$E$66+Q49*Q30*Assumptions!$E$67+Q52*Q33*Assumptions!$E$68)*Q20</f>
        <v>12043.6029320268</v>
      </c>
      <c r="R57" s="62" t="n">
        <f aca="false">(R40*R21*Assumptions!$E$64+R43*R24*Assumptions!$E$65+R46*R27*Assumptions!$E$66+R49*R30*Assumptions!$E$67+R52*R33*Assumptions!$E$68)*R20</f>
        <v>12040.2206658628</v>
      </c>
      <c r="S57" s="62" t="n">
        <f aca="false">(S40*S21*Assumptions!$E$64+S43*S24*Assumptions!$E$65+S46*S27*Assumptions!$E$66+S49*S30*Assumptions!$E$67+S52*S33*Assumptions!$E$68)*S20</f>
        <v>12036.1236616989</v>
      </c>
      <c r="T57" s="62" t="n">
        <f aca="false">(T40*T21*Assumptions!$E$64+T43*T24*Assumptions!$E$65+T46*T27*Assumptions!$E$66+T49*T30*Assumptions!$E$67+T52*T33*Assumptions!$E$68)*T20</f>
        <v>12032.0418771762</v>
      </c>
      <c r="U57" s="62" t="n">
        <f aca="false">(U40*U21*Assumptions!$E$64+U43*U24*Assumptions!$E$65+U46*U27*Assumptions!$E$66+U49*U30*Assumptions!$E$67+U52*U33*Assumptions!$E$68)*U20</f>
        <v>12032.1362267234</v>
      </c>
      <c r="V57" s="62" t="n">
        <f aca="false">(V40*V21*Assumptions!$E$64+V43*V24*Assumptions!$E$65+V46*V27*Assumptions!$E$66+V49*V30*Assumptions!$E$67+V52*V33*Assumptions!$E$68)*V20</f>
        <v>12032.2036805823</v>
      </c>
      <c r="W57" s="62" t="n">
        <f aca="false">(W40*W21*Assumptions!$E$64+W43*W24*Assumptions!$E$65+W46*W27*Assumptions!$E$66+W49*W30*Assumptions!$E$67+W52*W33*Assumptions!$E$68)*W20</f>
        <v>12032.2364523687</v>
      </c>
      <c r="X57" s="62" t="n">
        <f aca="false">(X40*X21*Assumptions!$E$64+X43*X24*Assumptions!$E$65+X46*X27*Assumptions!$E$66+X49*X30*Assumptions!$E$67+X52*X33*Assumptions!$E$68)*X20</f>
        <v>12032.2348543443</v>
      </c>
      <c r="Y57" s="62" t="n">
        <f aca="false">(Y40*Y21*Assumptions!$E$64+Y43*Y24*Assumptions!$E$65+Y46*Y27*Assumptions!$E$66+Y49*Y30*Assumptions!$E$67+Y52*Y33*Assumptions!$E$68)*Y20</f>
        <v>12308.4840297333</v>
      </c>
      <c r="Z57" s="62" t="n">
        <f aca="false">(Z40*Z21*Assumptions!$E$64+Z43*Z24*Assumptions!$E$65+Z46*Z27*Assumptions!$E$66+Z49*Z30*Assumptions!$E$67+Z52*Z33*Assumptions!$E$68)*Z20</f>
        <v>12305.0306502292</v>
      </c>
      <c r="AA57" s="62" t="n">
        <f aca="false">(AA40*AA21*Assumptions!$E$64+AA43*AA24*Assumptions!$E$65+AA46*AA27*Assumptions!$E$66+AA49*AA30*Assumptions!$E$67+AA52*AA33*Assumptions!$E$68)*AA20</f>
        <v>12301.6207113587</v>
      </c>
      <c r="AB57" s="62" t="n">
        <f aca="false">(AB40*AB21*Assumptions!$E$64+AB43*AB24*Assumptions!$E$65+AB46*AB27*Assumptions!$E$66+AB49*AB30*Assumptions!$E$67+AB52*AB33*Assumptions!$E$68)*AB20</f>
        <v>12298.2533837989</v>
      </c>
    </row>
    <row r="58" customFormat="false" ht="15" hidden="false" customHeight="false" outlineLevel="0" collapsed="false">
      <c r="A58" s="29" t="s">
        <v>1146</v>
      </c>
      <c r="B58" s="60" t="s">
        <v>1147</v>
      </c>
      <c r="C58" s="61" t="n">
        <f aca="false">SUM(E58:P58)</f>
        <v>4716.3336644624</v>
      </c>
      <c r="D58" s="61" t="n">
        <f aca="false">SUM(Q58:AB58)</f>
        <v>6233.2481518269</v>
      </c>
      <c r="E58" s="62" t="n">
        <f aca="false">(E40*E21*Assumptions!$E$64*Assumptions!$C$78+E43*E24*Assumptions!$E$65*Assumptions!$C$79+E46*E27*Assumptions!$E$66*Assumptions!$C$80+E49*E30*Assumptions!$E$67*Assumptions!$C$81+E52*E33*Assumptions!$E$68*Assumptions!$C$82)*E20</f>
        <v>363.110533333333</v>
      </c>
      <c r="F58" s="62" t="n">
        <f aca="false">(F40*F21*Assumptions!$E$64*Assumptions!$C$78+F43*F24*Assumptions!$E$65*Assumptions!$C$79+F46*F27*Assumptions!$E$66*Assumptions!$C$80+F49*F30*Assumptions!$E$67*Assumptions!$C$81+F52*F33*Assumptions!$E$68*Assumptions!$C$82)*F20</f>
        <v>363.110533333333</v>
      </c>
      <c r="G58" s="62" t="n">
        <f aca="false">(G40*G21*Assumptions!$E$64*Assumptions!$C$78+G43*G24*Assumptions!$E$65*Assumptions!$C$79+G46*G27*Assumptions!$E$66*Assumptions!$C$80+G49*G30*Assumptions!$E$67*Assumptions!$C$81+G52*G33*Assumptions!$E$68*Assumptions!$C$82)*G20</f>
        <v>363.110533333333</v>
      </c>
      <c r="H58" s="62" t="n">
        <f aca="false">(H40*H21*Assumptions!$E$64*Assumptions!$C$78+H43*H24*Assumptions!$E$65*Assumptions!$C$79+H46*H27*Assumptions!$E$66*Assumptions!$C$80+H49*H30*Assumptions!$E$67*Assumptions!$C$81+H52*H33*Assumptions!$E$68*Assumptions!$C$82)*H20</f>
        <v>319.8454</v>
      </c>
      <c r="I58" s="62" t="n">
        <f aca="false">(I40*I21*Assumptions!$E$64*Assumptions!$C$78+I43*I24*Assumptions!$E$65*Assumptions!$C$79+I46*I27*Assumptions!$E$66*Assumptions!$C$80+I49*I30*Assumptions!$E$67*Assumptions!$C$81+I52*I33*Assumptions!$E$68*Assumptions!$C$82)*I20</f>
        <v>319.8454</v>
      </c>
      <c r="J58" s="62" t="n">
        <f aca="false">(J40*J21*Assumptions!$E$64*Assumptions!$C$78+J43*J24*Assumptions!$E$65*Assumptions!$C$79+J46*J27*Assumptions!$E$66*Assumptions!$C$80+J49*J30*Assumptions!$E$67*Assumptions!$C$81+J52*J33*Assumptions!$E$68*Assumptions!$C$82)*J20</f>
        <v>319.8454</v>
      </c>
      <c r="K58" s="62" t="n">
        <f aca="false">(K40*K21*Assumptions!$E$64*Assumptions!$C$78+K43*K24*Assumptions!$E$65*Assumptions!$C$79+K46*K27*Assumptions!$E$66*Assumptions!$C$80+K49*K30*Assumptions!$E$67*Assumptions!$C$81+K52*K33*Assumptions!$E$68*Assumptions!$C$82)*K20</f>
        <v>363.110533333333</v>
      </c>
      <c r="L58" s="62" t="n">
        <f aca="false">(L40*L21*Assumptions!$E$64*Assumptions!$C$78+L43*L24*Assumptions!$E$65*Assumptions!$C$79+L46*L27*Assumptions!$E$66*Assumptions!$C$80+L49*L30*Assumptions!$E$67*Assumptions!$C$81+L52*L33*Assumptions!$E$68*Assumptions!$C$82)*L20</f>
        <v>363.110533333333</v>
      </c>
      <c r="M58" s="62" t="n">
        <f aca="false">(M40*M21*Assumptions!$E$64*Assumptions!$C$78+M43*M24*Assumptions!$E$65*Assumptions!$C$79+M46*M27*Assumptions!$E$66*Assumptions!$C$80+M49*M30*Assumptions!$E$67*Assumptions!$C$81+M52*M33*Assumptions!$E$68*Assumptions!$C$82)*M20</f>
        <v>493.102184166667</v>
      </c>
      <c r="N58" s="62" t="n">
        <f aca="false">(N40*N21*Assumptions!$E$64*Assumptions!$C$78+N43*N24*Assumptions!$E$65*Assumptions!$C$79+N46*N27*Assumptions!$E$66*Assumptions!$C$80+N49*N30*Assumptions!$E$67*Assumptions!$C$81+N52*N33*Assumptions!$E$68*Assumptions!$C$82)*N20</f>
        <v>486.938406864583</v>
      </c>
      <c r="O58" s="62" t="n">
        <f aca="false">(O40*O21*Assumptions!$E$64*Assumptions!$C$78+O43*O24*Assumptions!$E$65*Assumptions!$C$79+O46*O27*Assumptions!$E$66*Assumptions!$C$80+O49*O30*Assumptions!$E$67*Assumptions!$C$81+O52*O33*Assumptions!$E$68*Assumptions!$C$82)*O20</f>
        <v>480.851676778776</v>
      </c>
      <c r="P58" s="62" t="n">
        <f aca="false">(P40*P21*Assumptions!$E$64*Assumptions!$C$78+P43*P24*Assumptions!$E$65*Assumptions!$C$79+P46*P27*Assumptions!$E$66*Assumptions!$C$80+P49*P30*Assumptions!$E$67*Assumptions!$C$81+P52*P33*Assumptions!$E$68*Assumptions!$C$82)*P20</f>
        <v>480.352529985708</v>
      </c>
      <c r="Q58" s="62" t="n">
        <f aca="false">(Q40*Q21*Assumptions!$E$64*Assumptions!$C$78+Q43*Q24*Assumptions!$E$65*Assumptions!$C$79+Q46*Q27*Assumptions!$E$66*Assumptions!$C$80+Q49*Q30*Assumptions!$E$67*Assumptions!$C$81+Q52*Q33*Assumptions!$E$68*Assumptions!$C$82)*Q20</f>
        <v>499.732376689489</v>
      </c>
      <c r="R58" s="62" t="n">
        <f aca="false">(R40*R21*Assumptions!$E$64*Assumptions!$C$78+R43*R24*Assumptions!$E$65*Assumptions!$C$79+R46*R27*Assumptions!$E$66*Assumptions!$C$80+R49*R30*Assumptions!$E$67*Assumptions!$C$81+R52*R33*Assumptions!$E$68*Assumptions!$C$82)*R20</f>
        <v>499.81592127011</v>
      </c>
      <c r="S58" s="62" t="n">
        <f aca="false">(S40*S21*Assumptions!$E$64*Assumptions!$C$78+S43*S24*Assumptions!$E$65*Assumptions!$C$79+S46*S27*Assumptions!$E$66*Assumptions!$C$80+S49*S30*Assumptions!$E$67*Assumptions!$C$81+S52*S33*Assumptions!$E$68*Assumptions!$C$82)*S20</f>
        <v>499.819294052358</v>
      </c>
      <c r="T58" s="62" t="n">
        <f aca="false">(T40*T21*Assumptions!$E$64*Assumptions!$C$78+T43*T24*Assumptions!$E$65*Assumptions!$C$79+T46*T27*Assumptions!$E$66*Assumptions!$C$80+T49*T30*Assumptions!$E$67*Assumptions!$C$81+T52*T33*Assumptions!$E$68*Assumptions!$C$82)*T20</f>
        <v>499.816135766517</v>
      </c>
      <c r="U58" s="62" t="n">
        <f aca="false">(U40*U21*Assumptions!$E$64*Assumptions!$C$78+U43*U24*Assumptions!$E$65*Assumptions!$C$79+U46*U27*Assumptions!$E$66*Assumptions!$C$80+U49*U30*Assumptions!$E$67*Assumptions!$C$81+U52*U33*Assumptions!$E$68*Assumptions!$C$82)*U20</f>
        <v>499.815088778054</v>
      </c>
      <c r="V58" s="62" t="n">
        <f aca="false">(V40*V21*Assumptions!$E$64*Assumptions!$C$78+V43*V24*Assumptions!$E$65*Assumptions!$C$79+V46*V27*Assumptions!$E$66*Assumptions!$C$80+V49*V30*Assumptions!$E$67*Assumptions!$C$81+V52*V33*Assumptions!$E$68*Assumptions!$C$82)*V20</f>
        <v>499.815099184205</v>
      </c>
      <c r="W58" s="62" t="n">
        <f aca="false">(W40*W21*Assumptions!$E$64*Assumptions!$C$78+W43*W24*Assumptions!$E$65*Assumptions!$C$79+W46*W27*Assumptions!$E$66*Assumptions!$C$80+W49*W30*Assumptions!$E$67*Assumptions!$C$81+W52*W33*Assumptions!$E$68*Assumptions!$C$82)*W20</f>
        <v>499.815151620057</v>
      </c>
      <c r="X58" s="62" t="n">
        <f aca="false">(X40*X21*Assumptions!$E$64*Assumptions!$C$78+X43*X24*Assumptions!$E$65*Assumptions!$C$79+X46*X27*Assumptions!$E$66*Assumptions!$C$80+X49*X30*Assumptions!$E$67*Assumptions!$C$81+X52*X33*Assumptions!$E$68*Assumptions!$C$82)*X20</f>
        <v>499.815163921888</v>
      </c>
      <c r="Y58" s="62" t="n">
        <f aca="false">(Y40*Y21*Assumptions!$E$64*Assumptions!$C$78+Y43*Y24*Assumptions!$E$65*Assumptions!$C$79+Y46*Y27*Assumptions!$E$66*Assumptions!$C$80+Y49*Y30*Assumptions!$E$67*Assumptions!$C$81+Y52*Y33*Assumptions!$E$68*Assumptions!$C$82)*Y20</f>
        <v>559.81666298259</v>
      </c>
      <c r="Z58" s="62" t="n">
        <f aca="false">(Z40*Z21*Assumptions!$E$64*Assumptions!$C$78+Z43*Z24*Assumptions!$E$65*Assumptions!$C$79+Z46*Z27*Assumptions!$E$66*Assumptions!$C$80+Z49*Z30*Assumptions!$E$67*Assumptions!$C$81+Z52*Z33*Assumptions!$E$68*Assumptions!$C$82)*Z20</f>
        <v>559.06664343511</v>
      </c>
      <c r="AA58" s="62" t="n">
        <f aca="false">(AA40*AA21*Assumptions!$E$64*Assumptions!$C$78+AA43*AA24*Assumptions!$E$65*Assumptions!$C$79+AA46*AA27*Assumptions!$E$66*Assumptions!$C$80+AA49*AA30*Assumptions!$E$67*Assumptions!$C$81+AA52*AA33*Assumptions!$E$68*Assumptions!$C$82)*AA20</f>
        <v>558.325999787422</v>
      </c>
      <c r="AB58" s="62" t="n">
        <f aca="false">(AB40*AB21*Assumptions!$E$64*Assumptions!$C$78+AB43*AB24*Assumptions!$E$65*Assumptions!$C$79+AB46*AB27*Assumptions!$E$66*Assumptions!$C$80+AB49*AB30*Assumptions!$E$67*Assumptions!$C$81+AB52*AB33*Assumptions!$E$68*Assumptions!$C$82)*AB20</f>
        <v>557.594614339103</v>
      </c>
    </row>
    <row r="59" customFormat="false" ht="15" hidden="false" customHeight="false" outlineLevel="0" collapsed="false">
      <c r="A59" s="68" t="s">
        <v>1148</v>
      </c>
      <c r="B59" s="69" t="s">
        <v>1149</v>
      </c>
      <c r="C59" s="70" t="n">
        <f aca="false">SUM(E59:P59)</f>
        <v>1478416.56504014</v>
      </c>
      <c r="D59" s="70" t="n">
        <f aca="false">SUM(Q59:AB59)</f>
        <v>1683273.09423613</v>
      </c>
      <c r="E59" s="70" t="n">
        <f aca="false">E53+E54</f>
        <v>123838.3</v>
      </c>
      <c r="F59" s="70" t="n">
        <f aca="false">F53+F54</f>
        <v>124100.02</v>
      </c>
      <c r="G59" s="70" t="n">
        <f aca="false">G53+G54</f>
        <v>124025.15</v>
      </c>
      <c r="H59" s="70" t="n">
        <f aca="false">H53+H54</f>
        <v>115906.67</v>
      </c>
      <c r="I59" s="70" t="n">
        <f aca="false">I53+I54</f>
        <v>115553.11</v>
      </c>
      <c r="J59" s="70" t="n">
        <f aca="false">J53+J54</f>
        <v>115215.14</v>
      </c>
      <c r="K59" s="70" t="n">
        <f aca="false">K53+K54</f>
        <v>123912.53</v>
      </c>
      <c r="L59" s="70" t="n">
        <f aca="false">L53+L54</f>
        <v>124020.85</v>
      </c>
      <c r="M59" s="70" t="n">
        <f aca="false">M53+M54</f>
        <v>129379.614675347</v>
      </c>
      <c r="N59" s="70" t="n">
        <f aca="false">N53+N54</f>
        <v>128248.407873792</v>
      </c>
      <c r="O59" s="70" t="n">
        <f aca="false">O53+O54</f>
        <v>127129.724369908</v>
      </c>
      <c r="P59" s="70" t="n">
        <f aca="false">P53+P54</f>
        <v>127087.048121097</v>
      </c>
      <c r="Q59" s="70" t="n">
        <f aca="false">Q53+Q54</f>
        <v>138220.238551092</v>
      </c>
      <c r="R59" s="70" t="n">
        <f aca="false">R53+R54</f>
        <v>138186.05765699</v>
      </c>
      <c r="S59" s="70" t="n">
        <f aca="false">S53+S54</f>
        <v>138139.214253246</v>
      </c>
      <c r="T59" s="70" t="n">
        <f aca="false">T53+T54</f>
        <v>138092.170739623</v>
      </c>
      <c r="U59" s="70" t="n">
        <f aca="false">U53+U54</f>
        <v>138093.195023393</v>
      </c>
      <c r="V59" s="70" t="n">
        <f aca="false">V53+V54</f>
        <v>138093.970029663</v>
      </c>
      <c r="W59" s="70" t="n">
        <f aca="false">W53+W54</f>
        <v>138094.349268371</v>
      </c>
      <c r="X59" s="70" t="n">
        <f aca="false">X53+X54</f>
        <v>138094.33161673</v>
      </c>
      <c r="Y59" s="70" t="n">
        <f aca="false">Y53+Y54</f>
        <v>144687.48876303</v>
      </c>
      <c r="Z59" s="70" t="n">
        <f aca="false">Z53+Z54</f>
        <v>144605.071212416</v>
      </c>
      <c r="AA59" s="70" t="n">
        <f aca="false">AA53+AA54</f>
        <v>144523.687057247</v>
      </c>
      <c r="AB59" s="70" t="n">
        <f aca="false">AB53+AB54</f>
        <v>144443.320064329</v>
      </c>
    </row>
    <row r="60" customFormat="false" ht="15" hidden="false" customHeight="false" outlineLevel="0" collapsed="false">
      <c r="A60" s="29" t="s">
        <v>1150</v>
      </c>
      <c r="B60" s="60"/>
      <c r="C60" s="66" t="n">
        <f aca="false">P60</f>
        <v>13.5842514398269</v>
      </c>
      <c r="D60" s="66" t="n">
        <f aca="false">AB60</f>
        <v>15.0399540577187</v>
      </c>
      <c r="E60" s="72" t="n">
        <f aca="false">E40+E43+E46+E49+E52</f>
        <v>13</v>
      </c>
      <c r="F60" s="72" t="n">
        <f aca="false">F40+F43+F46+F49+F52</f>
        <v>13</v>
      </c>
      <c r="G60" s="72" t="n">
        <f aca="false">G40+G43+G46+G49+G52</f>
        <v>13</v>
      </c>
      <c r="H60" s="72" t="n">
        <f aca="false">H40+H43+H46+H49+H52</f>
        <v>12</v>
      </c>
      <c r="I60" s="72" t="n">
        <f aca="false">I40+I43+I46+I49+I52</f>
        <v>12</v>
      </c>
      <c r="J60" s="72" t="n">
        <f aca="false">J40+J43+J46+J49+J52</f>
        <v>12</v>
      </c>
      <c r="K60" s="72" t="n">
        <f aca="false">K40+K43+K46+K49+K52</f>
        <v>13</v>
      </c>
      <c r="L60" s="72" t="n">
        <f aca="false">L40+L43+L46+L49+L52</f>
        <v>13</v>
      </c>
      <c r="M60" s="72" t="n">
        <f aca="false">M40+M43+M46+M49+M52</f>
        <v>13.8708333333333</v>
      </c>
      <c r="N60" s="72" t="n">
        <f aca="false">N40+N43+N46+N49+N52</f>
        <v>13.7306423611111</v>
      </c>
      <c r="O60" s="72" t="n">
        <f aca="false">O40+O43+O46+O49+O52</f>
        <v>13.5920658998843</v>
      </c>
      <c r="P60" s="72" t="n">
        <f aca="false">P40+P43+P46+P49+P52</f>
        <v>13.5842514398269</v>
      </c>
      <c r="Q60" s="72" t="n">
        <f aca="false">Q40+Q43+Q46+Q49+Q52</f>
        <v>14.0875619808232</v>
      </c>
      <c r="R60" s="72" t="n">
        <f aca="false">R40+R43+R46+R49+R52</f>
        <v>14.0850519410889</v>
      </c>
      <c r="S60" s="72" t="n">
        <f aca="false">S40+S43+S46+S49+S52</f>
        <v>14.080961539738</v>
      </c>
      <c r="T60" s="72" t="n">
        <f aca="false">T40+T43+T46+T49+T52</f>
        <v>14.076804310448</v>
      </c>
      <c r="U60" s="72" t="n">
        <f aca="false">U40+U43+U46+U49+U52</f>
        <v>14.0768880209624</v>
      </c>
      <c r="V60" s="72" t="n">
        <f aca="false">V40+V43+V46+V49+V52</f>
        <v>14.0769561357753</v>
      </c>
      <c r="W60" s="72" t="n">
        <f aca="false">W40+W43+W46+W49+W52</f>
        <v>14.0769898143543</v>
      </c>
      <c r="X60" s="72" t="n">
        <f aca="false">X40+X43+X46+X49+X52</f>
        <v>14.0769883384471</v>
      </c>
      <c r="Y60" s="72" t="n">
        <f aca="false">Y40+Y43+Y46+Y49+Y52</f>
        <v>15.0769874967778</v>
      </c>
      <c r="Z60" s="72" t="n">
        <f aca="false">Z40+Z43+Z46+Z49+Z52</f>
        <v>15.0644872308684</v>
      </c>
      <c r="AA60" s="72" t="n">
        <f aca="false">AA40+AA43+AA46+AA49+AA52</f>
        <v>15.0521435016492</v>
      </c>
      <c r="AB60" s="72" t="n">
        <f aca="false">AB40+AB43+AB46+AB49+AB52</f>
        <v>15.0399540577187</v>
      </c>
    </row>
    <row r="61" customFormat="false" ht="15" hidden="false" customHeight="false" outlineLevel="0" collapsed="false">
      <c r="A61" s="23" t="s">
        <v>1151</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row>
    <row r="62" customFormat="false" ht="15" hidden="false" customHeight="false" outlineLevel="0" collapsed="false">
      <c r="A62" s="29" t="s">
        <v>1117</v>
      </c>
      <c r="B62" s="60" t="s">
        <v>1118</v>
      </c>
      <c r="C62" s="66" t="n">
        <f aca="false">SUM(E62:P62)</f>
        <v>0</v>
      </c>
      <c r="D62" s="66" t="n">
        <f aca="false">SUM(Q62:AB62)</f>
        <v>0</v>
      </c>
      <c r="E62" s="72" t="n">
        <f aca="false">0</f>
        <v>0</v>
      </c>
      <c r="F62" s="72" t="n">
        <f aca="false">0</f>
        <v>0</v>
      </c>
      <c r="G62" s="72" t="n">
        <f aca="false">0</f>
        <v>0</v>
      </c>
      <c r="H62" s="72" t="n">
        <f aca="false">0</f>
        <v>0</v>
      </c>
      <c r="I62" s="72" t="n">
        <f aca="false">0</f>
        <v>0</v>
      </c>
      <c r="J62" s="72" t="n">
        <f aca="false">0</f>
        <v>0</v>
      </c>
      <c r="K62" s="72" t="n">
        <f aca="false">0</f>
        <v>0</v>
      </c>
      <c r="L62" s="72" t="n">
        <f aca="false">0</f>
        <v>0</v>
      </c>
      <c r="M62" s="67" t="n">
        <f aca="false">L64*Assumptions!$C$96*Assumptions!$F$173/12</f>
        <v>0</v>
      </c>
      <c r="N62" s="67" t="n">
        <f aca="false">M64*Assumptions!$C$96*Assumptions!$F$173/12</f>
        <v>0</v>
      </c>
      <c r="O62" s="67" t="n">
        <f aca="false">N64*Assumptions!$C$96*Assumptions!$F$173/12</f>
        <v>0</v>
      </c>
      <c r="P62" s="67" t="n">
        <f aca="false">O64*Assumptions!$C$96*Assumptions!$F$173/12</f>
        <v>0</v>
      </c>
      <c r="Q62" s="67" t="n">
        <f aca="false">P64*Assumptions!$C$96*Assumptions!$F$173/12</f>
        <v>0</v>
      </c>
      <c r="R62" s="67" t="n">
        <f aca="false">Q64*Assumptions!$C$96*Assumptions!$F$173/12</f>
        <v>0</v>
      </c>
      <c r="S62" s="67" t="n">
        <f aca="false">R64*Assumptions!$C$96*Assumptions!$F$173/12</f>
        <v>0</v>
      </c>
      <c r="T62" s="67" t="n">
        <f aca="false">S64*Assumptions!$C$96*Assumptions!$F$173/12</f>
        <v>0</v>
      </c>
      <c r="U62" s="67" t="n">
        <f aca="false">T64*Assumptions!$C$96*Assumptions!$F$173/12</f>
        <v>0</v>
      </c>
      <c r="V62" s="67" t="n">
        <f aca="false">U64*Assumptions!$C$96*Assumptions!$F$173/12</f>
        <v>0</v>
      </c>
      <c r="W62" s="67" t="n">
        <f aca="false">V64*Assumptions!$C$96*Assumptions!$F$173/12</f>
        <v>0</v>
      </c>
      <c r="X62" s="67" t="n">
        <f aca="false">W64*Assumptions!$C$96*Assumptions!$F$173/12</f>
        <v>0</v>
      </c>
      <c r="Y62" s="67" t="n">
        <f aca="false">X64*Assumptions!$C$96*Assumptions!$F$173/12</f>
        <v>0</v>
      </c>
      <c r="Z62" s="67" t="n">
        <f aca="false">Y64*Assumptions!$C$96*Assumptions!$F$173/12</f>
        <v>0</v>
      </c>
      <c r="AA62" s="67" t="n">
        <f aca="false">Z64*Assumptions!$C$96*Assumptions!$F$173/12</f>
        <v>0</v>
      </c>
      <c r="AB62" s="67" t="n">
        <f aca="false">AA64*Assumptions!$C$96*Assumptions!$F$173/12</f>
        <v>0</v>
      </c>
    </row>
    <row r="63" customFormat="false" ht="15" hidden="false" customHeight="false" outlineLevel="0" collapsed="false">
      <c r="A63" s="29" t="s">
        <v>1119</v>
      </c>
      <c r="B63" s="60" t="s">
        <v>1120</v>
      </c>
      <c r="C63" s="66" t="n">
        <f aca="false">SUM(E63:P63)</f>
        <v>0</v>
      </c>
      <c r="D63" s="66" t="n">
        <f aca="false">SUM(Q63:AB63)</f>
        <v>0</v>
      </c>
      <c r="E63" s="72" t="n">
        <f aca="false">0</f>
        <v>0</v>
      </c>
      <c r="F63" s="72" t="n">
        <f aca="false">0</f>
        <v>0</v>
      </c>
      <c r="G63" s="72" t="n">
        <f aca="false">0</f>
        <v>0</v>
      </c>
      <c r="H63" s="72" t="n">
        <f aca="false">0</f>
        <v>0</v>
      </c>
      <c r="I63" s="72" t="n">
        <f aca="false">0</f>
        <v>0</v>
      </c>
      <c r="J63" s="72" t="n">
        <f aca="false">0</f>
        <v>0</v>
      </c>
      <c r="K63" s="72" t="n">
        <f aca="false">0</f>
        <v>0</v>
      </c>
      <c r="L63" s="72" t="n">
        <f aca="false">0</f>
        <v>0</v>
      </c>
      <c r="M63" s="72" t="n">
        <f aca="false">0</f>
        <v>0</v>
      </c>
      <c r="N63" s="72" t="n">
        <f aca="false">0</f>
        <v>0</v>
      </c>
      <c r="O63" s="72" t="n">
        <f aca="false">0</f>
        <v>0</v>
      </c>
      <c r="P63" s="67" t="n">
        <f aca="false">M62*Assumptions!$F$174</f>
        <v>0</v>
      </c>
      <c r="Q63" s="67" t="n">
        <f aca="false">N62*Assumptions!$F$174</f>
        <v>0</v>
      </c>
      <c r="R63" s="67" t="n">
        <f aca="false">O62*Assumptions!$F$174</f>
        <v>0</v>
      </c>
      <c r="S63" s="67" t="n">
        <f aca="false">P62*Assumptions!$F$174</f>
        <v>0</v>
      </c>
      <c r="T63" s="67" t="n">
        <f aca="false">Q62*Assumptions!$F$174</f>
        <v>0</v>
      </c>
      <c r="U63" s="67" t="n">
        <f aca="false">R62*Assumptions!$F$174</f>
        <v>0</v>
      </c>
      <c r="V63" s="67" t="n">
        <f aca="false">S62*Assumptions!$F$174</f>
        <v>0</v>
      </c>
      <c r="W63" s="67" t="n">
        <f aca="false">T62*Assumptions!$F$174</f>
        <v>0</v>
      </c>
      <c r="X63" s="67" t="n">
        <f aca="false">U62*Assumptions!$F$174</f>
        <v>0</v>
      </c>
      <c r="Y63" s="67" t="n">
        <f aca="false">V62*Assumptions!$F$174</f>
        <v>0</v>
      </c>
      <c r="Z63" s="67" t="n">
        <f aca="false">W62*Assumptions!$F$174</f>
        <v>0</v>
      </c>
      <c r="AA63" s="67" t="n">
        <f aca="false">X62*Assumptions!$F$174</f>
        <v>0</v>
      </c>
      <c r="AB63" s="67" t="n">
        <f aca="false">Y62*Assumptions!$F$174</f>
        <v>0</v>
      </c>
    </row>
    <row r="64" customFormat="false" ht="15" hidden="false" customHeight="false" outlineLevel="0" collapsed="false">
      <c r="A64" s="29" t="s">
        <v>1121</v>
      </c>
      <c r="B64" s="60" t="s">
        <v>1122</v>
      </c>
      <c r="C64" s="66" t="n">
        <f aca="false">P64</f>
        <v>1</v>
      </c>
      <c r="D64" s="66" t="n">
        <f aca="false">AB64</f>
        <v>1</v>
      </c>
      <c r="E64" s="67" t="n">
        <f aca="false">IF(E$5="A",Inputs_Actuals!E124,Inputs_Actuals!E124-E62+E63)</f>
        <v>1</v>
      </c>
      <c r="F64" s="67" t="n">
        <f aca="false">IF(F$5="A",Inputs_Actuals!F124,E64-F62+F63)</f>
        <v>1</v>
      </c>
      <c r="G64" s="67" t="n">
        <f aca="false">IF(G$5="A",Inputs_Actuals!G124,F64-G62+G63)</f>
        <v>1</v>
      </c>
      <c r="H64" s="67" t="n">
        <f aca="false">IF(H$5="A",Inputs_Actuals!H124,G64-H62+H63)</f>
        <v>1</v>
      </c>
      <c r="I64" s="67" t="n">
        <f aca="false">IF(I$5="A",Inputs_Actuals!I124,H64-I62+I63)</f>
        <v>1</v>
      </c>
      <c r="J64" s="67" t="n">
        <f aca="false">IF(J$5="A",Inputs_Actuals!J124,I64-J62+J63)</f>
        <v>1</v>
      </c>
      <c r="K64" s="67" t="n">
        <f aca="false">IF(K$5="A",Inputs_Actuals!K124,J64-K62+K63)</f>
        <v>1</v>
      </c>
      <c r="L64" s="67" t="n">
        <f aca="false">IF(L$5="A",Inputs_Actuals!L124,K64-L62+L63)</f>
        <v>1</v>
      </c>
      <c r="M64" s="67" t="n">
        <f aca="false">IF(M$5="A",Inputs_Actuals!M124,L64-M62+M63)</f>
        <v>1</v>
      </c>
      <c r="N64" s="67" t="n">
        <f aca="false">IF(N$5="A",Inputs_Actuals!N124,M64-N62+N63)</f>
        <v>1</v>
      </c>
      <c r="O64" s="67" t="n">
        <f aca="false">IF(O$5="A",Inputs_Actuals!O124,N64-O62+O63)</f>
        <v>1</v>
      </c>
      <c r="P64" s="67" t="n">
        <f aca="false">IF(P$5="A",Inputs_Actuals!P124,O64-P62+P63)</f>
        <v>1</v>
      </c>
      <c r="Q64" s="67" t="n">
        <f aca="false">IF(Q$5="A",Inputs_Actuals!Q124,P64-Q62+Q63)</f>
        <v>1</v>
      </c>
      <c r="R64" s="67" t="n">
        <f aca="false">IF(R$5="A",Inputs_Actuals!R124,Q64-R62+R63)</f>
        <v>1</v>
      </c>
      <c r="S64" s="67" t="n">
        <f aca="false">IF(S$5="A",Inputs_Actuals!S124,R64-S62+S63)</f>
        <v>1</v>
      </c>
      <c r="T64" s="67" t="n">
        <f aca="false">IF(T$5="A",Inputs_Actuals!T124,S64-T62+T63)</f>
        <v>1</v>
      </c>
      <c r="U64" s="67" t="n">
        <f aca="false">IF(U$5="A",Inputs_Actuals!U124,T64-U62+U63)</f>
        <v>1</v>
      </c>
      <c r="V64" s="67" t="n">
        <f aca="false">IF(V$5="A",Inputs_Actuals!V124,U64-V62+V63)</f>
        <v>1</v>
      </c>
      <c r="W64" s="67" t="n">
        <f aca="false">IF(W$5="A",Inputs_Actuals!W124,V64-W62+W63)</f>
        <v>1</v>
      </c>
      <c r="X64" s="67" t="n">
        <f aca="false">IF(X$5="A",Inputs_Actuals!X124,W64-X62+X63)</f>
        <v>1</v>
      </c>
      <c r="Y64" s="67" t="n">
        <f aca="false">IF(Y$5="A",Inputs_Actuals!Y124,X64-Y62+Y63)</f>
        <v>1</v>
      </c>
      <c r="Z64" s="67" t="n">
        <f aca="false">IF(Z$5="A",Inputs_Actuals!Z124,Y64-Z62+Z63)</f>
        <v>1</v>
      </c>
      <c r="AA64" s="67" t="n">
        <f aca="false">IF(AA$5="A",Inputs_Actuals!AA124,Z64-AA62+AA63)</f>
        <v>1</v>
      </c>
      <c r="AB64" s="67" t="n">
        <f aca="false">IF(AB$5="A",Inputs_Actuals!AB124,AA64-AB62+AB63)</f>
        <v>1</v>
      </c>
    </row>
    <row r="65" customFormat="false" ht="15" hidden="false" customHeight="false" outlineLevel="0" collapsed="false">
      <c r="A65" s="29" t="s">
        <v>1123</v>
      </c>
      <c r="B65" s="60" t="s">
        <v>1118</v>
      </c>
      <c r="C65" s="66" t="n">
        <f aca="false">SUM(E65:P65)</f>
        <v>0.0165627890504437</v>
      </c>
      <c r="D65" s="66" t="n">
        <f aca="false">SUM(Q65:AB65)</f>
        <v>0.049382442875584</v>
      </c>
      <c r="E65" s="72" t="n">
        <f aca="false">0</f>
        <v>0</v>
      </c>
      <c r="F65" s="72" t="n">
        <f aca="false">0</f>
        <v>0</v>
      </c>
      <c r="G65" s="72" t="n">
        <f aca="false">0</f>
        <v>0</v>
      </c>
      <c r="H65" s="72" t="n">
        <f aca="false">0</f>
        <v>0</v>
      </c>
      <c r="I65" s="72" t="n">
        <f aca="false">0</f>
        <v>0</v>
      </c>
      <c r="J65" s="72" t="n">
        <f aca="false">0</f>
        <v>0</v>
      </c>
      <c r="K65" s="72" t="n">
        <f aca="false">0</f>
        <v>0</v>
      </c>
      <c r="L65" s="72" t="n">
        <f aca="false">0</f>
        <v>0</v>
      </c>
      <c r="M65" s="67" t="n">
        <f aca="false">L67*Assumptions!$C$97*Assumptions!$F$173/12</f>
        <v>0.00416666666666667</v>
      </c>
      <c r="N65" s="67" t="n">
        <f aca="false">M67*Assumptions!$C$97*Assumptions!$F$173/12</f>
        <v>0.00414930555555556</v>
      </c>
      <c r="O65" s="67" t="n">
        <f aca="false">N67*Assumptions!$C$97*Assumptions!$F$173/12</f>
        <v>0.00413201678240741</v>
      </c>
      <c r="P65" s="67" t="n">
        <f aca="false">O67*Assumptions!$C$97*Assumptions!$F$173/12</f>
        <v>0.00411480004581404</v>
      </c>
      <c r="Q65" s="67" t="n">
        <f aca="false">P67*Assumptions!$C$97*Assumptions!$F$173/12</f>
        <v>0.00411501615673426</v>
      </c>
      <c r="R65" s="67" t="n">
        <f aca="false">Q67*Assumptions!$C$97*Assumptions!$F$173/12</f>
        <v>0.00411515902922935</v>
      </c>
      <c r="S65" s="67" t="n">
        <f aca="false">R67*Assumptions!$C$97*Assumptions!$F$173/12</f>
        <v>0.00411522926986759</v>
      </c>
      <c r="T65" s="67" t="n">
        <f aca="false">S67*Assumptions!$C$97*Assumptions!$F$173/12</f>
        <v>0.00411522748143404</v>
      </c>
      <c r="U65" s="67" t="n">
        <f aca="false">T67*Assumptions!$C$97*Assumptions!$F$173/12</f>
        <v>0.00411522660091445</v>
      </c>
      <c r="V65" s="67" t="n">
        <f aca="false">U67*Assumptions!$C$97*Assumptions!$F$173/12</f>
        <v>0.00411522631936577</v>
      </c>
      <c r="W65" s="67" t="n">
        <f aca="false">V67*Assumptions!$C$97*Assumptions!$F$173/12</f>
        <v>0.00411522633165952</v>
      </c>
      <c r="X65" s="67" t="n">
        <f aca="false">W67*Assumptions!$C$97*Assumptions!$F$173/12</f>
        <v>0.00411522633645025</v>
      </c>
      <c r="Y65" s="67" t="n">
        <f aca="false">X67*Assumptions!$C$97*Assumptions!$F$173/12</f>
        <v>0.00411522633755219</v>
      </c>
      <c r="Z65" s="67" t="n">
        <f aca="false">Y67*Assumptions!$C$97*Assumptions!$F$173/12</f>
        <v>0.00411522633747641</v>
      </c>
      <c r="AA65" s="67" t="n">
        <f aca="false">Z67*Assumptions!$C$97*Assumptions!$F$173/12</f>
        <v>0.00411522633745217</v>
      </c>
      <c r="AB65" s="67" t="n">
        <f aca="false">AA67*Assumptions!$C$97*Assumptions!$F$173/12</f>
        <v>0.004115226337448</v>
      </c>
    </row>
    <row r="66" customFormat="false" ht="15" hidden="false" customHeight="false" outlineLevel="0" collapsed="false">
      <c r="A66" s="29" t="s">
        <v>1124</v>
      </c>
      <c r="B66" s="60" t="s">
        <v>1120</v>
      </c>
      <c r="C66" s="66" t="n">
        <f aca="false">SUM(E66:P66)</f>
        <v>0.00416666666666667</v>
      </c>
      <c r="D66" s="66" t="n">
        <f aca="false">SUM(Q66:AB66)</f>
        <v>0.0494328862469844</v>
      </c>
      <c r="E66" s="72" t="n">
        <f aca="false">0</f>
        <v>0</v>
      </c>
      <c r="F66" s="72" t="n">
        <f aca="false">0</f>
        <v>0</v>
      </c>
      <c r="G66" s="72" t="n">
        <f aca="false">0</f>
        <v>0</v>
      </c>
      <c r="H66" s="72" t="n">
        <f aca="false">0</f>
        <v>0</v>
      </c>
      <c r="I66" s="72" t="n">
        <f aca="false">0</f>
        <v>0</v>
      </c>
      <c r="J66" s="72" t="n">
        <f aca="false">0</f>
        <v>0</v>
      </c>
      <c r="K66" s="72" t="n">
        <f aca="false">0</f>
        <v>0</v>
      </c>
      <c r="L66" s="72" t="n">
        <f aca="false">0</f>
        <v>0</v>
      </c>
      <c r="M66" s="72" t="n">
        <f aca="false">0</f>
        <v>0</v>
      </c>
      <c r="N66" s="72" t="n">
        <f aca="false">0</f>
        <v>0</v>
      </c>
      <c r="O66" s="72" t="n">
        <f aca="false">0</f>
        <v>0</v>
      </c>
      <c r="P66" s="67" t="n">
        <f aca="false">M65*Assumptions!$F$174</f>
        <v>0.00416666666666667</v>
      </c>
      <c r="Q66" s="67" t="n">
        <f aca="false">N65*Assumptions!$F$174</f>
        <v>0.00414930555555556</v>
      </c>
      <c r="R66" s="67" t="n">
        <f aca="false">O65*Assumptions!$F$174</f>
        <v>0.00413201678240741</v>
      </c>
      <c r="S66" s="67" t="n">
        <f aca="false">P65*Assumptions!$F$174</f>
        <v>0.00411480004581404</v>
      </c>
      <c r="T66" s="67" t="n">
        <f aca="false">Q65*Assumptions!$F$174</f>
        <v>0.00411501615673426</v>
      </c>
      <c r="U66" s="67" t="n">
        <f aca="false">R65*Assumptions!$F$174</f>
        <v>0.00411515902922935</v>
      </c>
      <c r="V66" s="67" t="n">
        <f aca="false">S65*Assumptions!$F$174</f>
        <v>0.00411522926986759</v>
      </c>
      <c r="W66" s="67" t="n">
        <f aca="false">T65*Assumptions!$F$174</f>
        <v>0.00411522748143404</v>
      </c>
      <c r="X66" s="67" t="n">
        <f aca="false">U65*Assumptions!$F$174</f>
        <v>0.00411522660091445</v>
      </c>
      <c r="Y66" s="67" t="n">
        <f aca="false">V65*Assumptions!$F$174</f>
        <v>0.00411522631936577</v>
      </c>
      <c r="Z66" s="67" t="n">
        <f aca="false">W65*Assumptions!$F$174</f>
        <v>0.00411522633165952</v>
      </c>
      <c r="AA66" s="67" t="n">
        <f aca="false">X65*Assumptions!$F$174</f>
        <v>0.00411522633645025</v>
      </c>
      <c r="AB66" s="67" t="n">
        <f aca="false">Y65*Assumptions!$F$174</f>
        <v>0.00411522633755219</v>
      </c>
    </row>
    <row r="67" customFormat="false" ht="15" hidden="false" customHeight="false" outlineLevel="0" collapsed="false">
      <c r="A67" s="29" t="s">
        <v>1125</v>
      </c>
      <c r="B67" s="60" t="s">
        <v>1122</v>
      </c>
      <c r="C67" s="66" t="n">
        <f aca="false">P67</f>
        <v>0.987603877616223</v>
      </c>
      <c r="D67" s="66" t="n">
        <f aca="false">AB67</f>
        <v>0.987654320987623</v>
      </c>
      <c r="E67" s="67" t="n">
        <f aca="false">IF(E$5="A",Inputs_Actuals!E125,Inputs_Actuals!E125-E65+E66)</f>
        <v>1</v>
      </c>
      <c r="F67" s="67" t="n">
        <f aca="false">IF(F$5="A",Inputs_Actuals!F125,E67-F65+F66)</f>
        <v>1</v>
      </c>
      <c r="G67" s="67" t="n">
        <f aca="false">IF(G$5="A",Inputs_Actuals!G125,F67-G65+G66)</f>
        <v>1</v>
      </c>
      <c r="H67" s="67" t="n">
        <f aca="false">IF(H$5="A",Inputs_Actuals!H125,G67-H65+H66)</f>
        <v>1</v>
      </c>
      <c r="I67" s="67" t="n">
        <f aca="false">IF(I$5="A",Inputs_Actuals!I125,H67-I65+I66)</f>
        <v>1</v>
      </c>
      <c r="J67" s="67" t="n">
        <f aca="false">IF(J$5="A",Inputs_Actuals!J125,I67-J65+J66)</f>
        <v>1</v>
      </c>
      <c r="K67" s="67" t="n">
        <f aca="false">IF(K$5="A",Inputs_Actuals!K125,J67-K65+K66)</f>
        <v>1</v>
      </c>
      <c r="L67" s="67" t="n">
        <f aca="false">IF(L$5="A",Inputs_Actuals!L125,K67-L65+L66)</f>
        <v>1</v>
      </c>
      <c r="M67" s="67" t="n">
        <f aca="false">IF(M$5="A",Inputs_Actuals!M125,L67-M65+M66)</f>
        <v>0.995833333333333</v>
      </c>
      <c r="N67" s="67" t="n">
        <f aca="false">IF(N$5="A",Inputs_Actuals!N125,M67-N65+N66)</f>
        <v>0.991684027777778</v>
      </c>
      <c r="O67" s="67" t="n">
        <f aca="false">IF(O$5="A",Inputs_Actuals!O125,N67-O65+O66)</f>
        <v>0.98755201099537</v>
      </c>
      <c r="P67" s="67" t="n">
        <f aca="false">IF(P$5="A",Inputs_Actuals!P125,O67-P65+P66)</f>
        <v>0.987603877616223</v>
      </c>
      <c r="Q67" s="67" t="n">
        <f aca="false">IF(Q$5="A",Inputs_Actuals!Q125,P67-Q65+Q66)</f>
        <v>0.987638167015044</v>
      </c>
      <c r="R67" s="67" t="n">
        <f aca="false">IF(R$5="A",Inputs_Actuals!R125,Q67-R65+R66)</f>
        <v>0.987655024768222</v>
      </c>
      <c r="S67" s="67" t="n">
        <f aca="false">IF(S$5="A",Inputs_Actuals!S125,R67-S65+S66)</f>
        <v>0.987654595544169</v>
      </c>
      <c r="T67" s="67" t="n">
        <f aca="false">IF(T$5="A",Inputs_Actuals!T125,S67-T65+T66)</f>
        <v>0.987654384219469</v>
      </c>
      <c r="U67" s="67" t="n">
        <f aca="false">IF(U$5="A",Inputs_Actuals!U125,T67-U65+U66)</f>
        <v>0.987654316647784</v>
      </c>
      <c r="V67" s="67" t="n">
        <f aca="false">IF(V$5="A",Inputs_Actuals!V125,U67-V65+V66)</f>
        <v>0.987654319598286</v>
      </c>
      <c r="W67" s="67" t="n">
        <f aca="false">IF(W$5="A",Inputs_Actuals!W125,V67-W65+W66)</f>
        <v>0.98765432074806</v>
      </c>
      <c r="X67" s="67" t="n">
        <f aca="false">IF(X$5="A",Inputs_Actuals!X125,W67-X65+X66)</f>
        <v>0.987654321012525</v>
      </c>
      <c r="Y67" s="67" t="n">
        <f aca="false">IF(Y$5="A",Inputs_Actuals!Y125,X67-Y65+Y66)</f>
        <v>0.987654320994338</v>
      </c>
      <c r="Z67" s="67" t="n">
        <f aca="false">IF(Z$5="A",Inputs_Actuals!Z125,Y67-Z65+Z66)</f>
        <v>0.987654320988521</v>
      </c>
      <c r="AA67" s="67" t="n">
        <f aca="false">IF(AA$5="A",Inputs_Actuals!AA125,Z67-AA65+AA66)</f>
        <v>0.987654320987519</v>
      </c>
      <c r="AB67" s="67" t="n">
        <f aca="false">IF(AB$5="A",Inputs_Actuals!AB125,AA67-AB65+AB66)</f>
        <v>0.987654320987623</v>
      </c>
    </row>
    <row r="68" customFormat="false" ht="15" hidden="false" customHeight="false" outlineLevel="0" collapsed="false">
      <c r="A68" s="29" t="s">
        <v>1126</v>
      </c>
      <c r="B68" s="60" t="s">
        <v>1118</v>
      </c>
      <c r="C68" s="66" t="n">
        <f aca="false">SUM(E68:P68)</f>
        <v>0.0658379533179012</v>
      </c>
      <c r="D68" s="66" t="n">
        <f aca="false">SUM(Q68:AB68)</f>
        <v>0.195117826971636</v>
      </c>
      <c r="E68" s="72" t="n">
        <f aca="false">0</f>
        <v>0</v>
      </c>
      <c r="F68" s="72" t="n">
        <f aca="false">0</f>
        <v>0</v>
      </c>
      <c r="G68" s="72" t="n">
        <f aca="false">0</f>
        <v>0</v>
      </c>
      <c r="H68" s="72" t="n">
        <f aca="false">0</f>
        <v>0</v>
      </c>
      <c r="I68" s="72" t="n">
        <f aca="false">0</f>
        <v>0</v>
      </c>
      <c r="J68" s="72" t="n">
        <f aca="false">0</f>
        <v>0</v>
      </c>
      <c r="K68" s="72" t="n">
        <f aca="false">0</f>
        <v>0</v>
      </c>
      <c r="L68" s="72" t="n">
        <f aca="false">0</f>
        <v>0</v>
      </c>
      <c r="M68" s="67" t="n">
        <f aca="false">L70*Assumptions!$C$98*Assumptions!$F$173/12</f>
        <v>0.0166666666666667</v>
      </c>
      <c r="N68" s="67" t="n">
        <f aca="false">M70*Assumptions!$C$98*Assumptions!$F$173/12</f>
        <v>0.0165277777777778</v>
      </c>
      <c r="O68" s="67" t="n">
        <f aca="false">N70*Assumptions!$C$98*Assumptions!$F$173/12</f>
        <v>0.0163900462962963</v>
      </c>
      <c r="P68" s="67" t="n">
        <f aca="false">O70*Assumptions!$C$98*Assumptions!$F$173/12</f>
        <v>0.0162534625771605</v>
      </c>
      <c r="Q68" s="67" t="n">
        <f aca="false">P70*Assumptions!$C$98*Assumptions!$F$173/12</f>
        <v>0.016256905944573</v>
      </c>
      <c r="R68" s="67" t="n">
        <f aca="false">Q70*Assumptions!$C$98*Assumptions!$F$173/12</f>
        <v>0.0162591632098498</v>
      </c>
      <c r="S68" s="67" t="n">
        <f aca="false">R70*Assumptions!$C$98*Assumptions!$F$173/12</f>
        <v>0.0162602539022368</v>
      </c>
      <c r="T68" s="67" t="n">
        <f aca="false">S70*Assumptions!$C$98*Assumptions!$F$173/12</f>
        <v>0.0162601973078612</v>
      </c>
      <c r="U68" s="67" t="n">
        <f aca="false">T70*Assumptions!$C$98*Assumptions!$F$173/12</f>
        <v>0.0162601698798338</v>
      </c>
      <c r="V68" s="67" t="n">
        <f aca="false">U70*Assumptions!$C$98*Assumptions!$F$173/12</f>
        <v>0.0162601614909172</v>
      </c>
      <c r="W68" s="67" t="n">
        <f aca="false">V70*Assumptions!$C$98*Assumptions!$F$173/12</f>
        <v>0.0162601622610116</v>
      </c>
      <c r="X68" s="67" t="n">
        <f aca="false">W70*Assumptions!$C$98*Assumptions!$F$173/12</f>
        <v>0.0162601625530686</v>
      </c>
      <c r="Y68" s="67" t="n">
        <f aca="false">X70*Assumptions!$C$98*Assumptions!$F$173/12</f>
        <v>0.016260162614125</v>
      </c>
      <c r="Z68" s="67" t="n">
        <f aca="false">Y70*Assumptions!$C$98*Assumptions!$F$173/12</f>
        <v>0.016260162604765</v>
      </c>
      <c r="AA68" s="67" t="n">
        <f aca="false">Z70*Assumptions!$C$98*Assumptions!$F$173/12</f>
        <v>0.0162601626019003</v>
      </c>
      <c r="AB68" s="67" t="n">
        <f aca="false">AA70*Assumptions!$C$98*Assumptions!$F$173/12</f>
        <v>0.0162601626014934</v>
      </c>
    </row>
    <row r="69" customFormat="false" ht="15" hidden="false" customHeight="false" outlineLevel="0" collapsed="false">
      <c r="A69" s="29" t="s">
        <v>1127</v>
      </c>
      <c r="B69" s="60" t="s">
        <v>1120</v>
      </c>
      <c r="C69" s="66" t="n">
        <f aca="false">SUM(E69:P69)</f>
        <v>0.0166666666666667</v>
      </c>
      <c r="D69" s="66" t="n">
        <f aca="false">SUM(Q69:AB69)</f>
        <v>0.195508625814712</v>
      </c>
      <c r="E69" s="72" t="n">
        <f aca="false">0</f>
        <v>0</v>
      </c>
      <c r="F69" s="72" t="n">
        <f aca="false">0</f>
        <v>0</v>
      </c>
      <c r="G69" s="72" t="n">
        <f aca="false">0</f>
        <v>0</v>
      </c>
      <c r="H69" s="72" t="n">
        <f aca="false">0</f>
        <v>0</v>
      </c>
      <c r="I69" s="72" t="n">
        <f aca="false">0</f>
        <v>0</v>
      </c>
      <c r="J69" s="72" t="n">
        <f aca="false">0</f>
        <v>0</v>
      </c>
      <c r="K69" s="72" t="n">
        <f aca="false">0</f>
        <v>0</v>
      </c>
      <c r="L69" s="72" t="n">
        <f aca="false">0</f>
        <v>0</v>
      </c>
      <c r="M69" s="72" t="n">
        <f aca="false">0</f>
        <v>0</v>
      </c>
      <c r="N69" s="72" t="n">
        <f aca="false">0</f>
        <v>0</v>
      </c>
      <c r="O69" s="72" t="n">
        <f aca="false">0</f>
        <v>0</v>
      </c>
      <c r="P69" s="67" t="n">
        <f aca="false">M68*Assumptions!$F$174</f>
        <v>0.0166666666666667</v>
      </c>
      <c r="Q69" s="67" t="n">
        <f aca="false">N68*Assumptions!$F$174</f>
        <v>0.0165277777777778</v>
      </c>
      <c r="R69" s="67" t="n">
        <f aca="false">O68*Assumptions!$F$174</f>
        <v>0.0163900462962963</v>
      </c>
      <c r="S69" s="67" t="n">
        <f aca="false">P68*Assumptions!$F$174</f>
        <v>0.0162534625771605</v>
      </c>
      <c r="T69" s="67" t="n">
        <f aca="false">Q68*Assumptions!$F$174</f>
        <v>0.016256905944573</v>
      </c>
      <c r="U69" s="67" t="n">
        <f aca="false">R68*Assumptions!$F$174</f>
        <v>0.0162591632098498</v>
      </c>
      <c r="V69" s="67" t="n">
        <f aca="false">S68*Assumptions!$F$174</f>
        <v>0.0162602539022368</v>
      </c>
      <c r="W69" s="67" t="n">
        <f aca="false">T68*Assumptions!$F$174</f>
        <v>0.0162601973078612</v>
      </c>
      <c r="X69" s="67" t="n">
        <f aca="false">U68*Assumptions!$F$174</f>
        <v>0.0162601698798338</v>
      </c>
      <c r="Y69" s="67" t="n">
        <f aca="false">V68*Assumptions!$F$174</f>
        <v>0.0162601614909172</v>
      </c>
      <c r="Z69" s="67" t="n">
        <f aca="false">W68*Assumptions!$F$174</f>
        <v>0.0162601622610116</v>
      </c>
      <c r="AA69" s="67" t="n">
        <f aca="false">X68*Assumptions!$F$174</f>
        <v>0.0162601625530686</v>
      </c>
      <c r="AB69" s="67" t="n">
        <f aca="false">Y68*Assumptions!$F$174</f>
        <v>0.016260162614125</v>
      </c>
    </row>
    <row r="70" customFormat="false" ht="15" hidden="false" customHeight="false" outlineLevel="0" collapsed="false">
      <c r="A70" s="29" t="s">
        <v>1128</v>
      </c>
      <c r="B70" s="60" t="s">
        <v>1122</v>
      </c>
      <c r="C70" s="66" t="n">
        <f aca="false">P70</f>
        <v>1.95082871334877</v>
      </c>
      <c r="D70" s="66" t="n">
        <f aca="false">AB70</f>
        <v>1.95121951219184</v>
      </c>
      <c r="E70" s="67" t="n">
        <f aca="false">IF(E$5="A",Inputs_Actuals!E126,Inputs_Actuals!E126-E68+E69)</f>
        <v>1</v>
      </c>
      <c r="F70" s="67" t="n">
        <f aca="false">IF(F$5="A",Inputs_Actuals!F126,E70-F68+F69)</f>
        <v>2</v>
      </c>
      <c r="G70" s="67" t="n">
        <f aca="false">IF(G$5="A",Inputs_Actuals!G126,F70-G68+G69)</f>
        <v>2</v>
      </c>
      <c r="H70" s="67" t="n">
        <f aca="false">IF(H$5="A",Inputs_Actuals!H126,G70-H68+H69)</f>
        <v>2</v>
      </c>
      <c r="I70" s="67" t="n">
        <f aca="false">IF(I$5="A",Inputs_Actuals!I126,H70-I68+I69)</f>
        <v>2</v>
      </c>
      <c r="J70" s="67" t="n">
        <f aca="false">IF(J$5="A",Inputs_Actuals!J126,I70-J68+J69)</f>
        <v>2</v>
      </c>
      <c r="K70" s="67" t="n">
        <f aca="false">IF(K$5="A",Inputs_Actuals!K126,J70-K68+K69)</f>
        <v>2</v>
      </c>
      <c r="L70" s="67" t="n">
        <f aca="false">IF(L$5="A",Inputs_Actuals!L126,K70-L68+L69)</f>
        <v>2</v>
      </c>
      <c r="M70" s="67" t="n">
        <f aca="false">IF(M$5="A",Inputs_Actuals!M126,L70-M68+M69)</f>
        <v>1.98333333333333</v>
      </c>
      <c r="N70" s="67" t="n">
        <f aca="false">IF(N$5="A",Inputs_Actuals!N126,M70-N68+N69)</f>
        <v>1.96680555555556</v>
      </c>
      <c r="O70" s="67" t="n">
        <f aca="false">IF(O$5="A",Inputs_Actuals!O126,N70-O68+O69)</f>
        <v>1.95041550925926</v>
      </c>
      <c r="P70" s="67" t="n">
        <f aca="false">IF(P$5="A",Inputs_Actuals!P126,O70-P68+P69)</f>
        <v>1.95082871334877</v>
      </c>
      <c r="Q70" s="67" t="n">
        <f aca="false">IF(Q$5="A",Inputs_Actuals!Q126,P70-Q68+Q69)</f>
        <v>1.95109958518197</v>
      </c>
      <c r="R70" s="67" t="n">
        <f aca="false">IF(R$5="A",Inputs_Actuals!R126,Q70-R68+R69)</f>
        <v>1.95123046826842</v>
      </c>
      <c r="S70" s="67" t="n">
        <f aca="false">IF(S$5="A",Inputs_Actuals!S126,R70-S68+S69)</f>
        <v>1.95122367694334</v>
      </c>
      <c r="T70" s="67" t="n">
        <f aca="false">IF(T$5="A",Inputs_Actuals!T126,S70-T68+T69)</f>
        <v>1.95122038558005</v>
      </c>
      <c r="U70" s="67" t="n">
        <f aca="false">IF(U$5="A",Inputs_Actuals!U126,T70-U68+U69)</f>
        <v>1.95121937891007</v>
      </c>
      <c r="V70" s="67" t="n">
        <f aca="false">IF(V$5="A",Inputs_Actuals!V126,U70-V68+V69)</f>
        <v>1.95121947132139</v>
      </c>
      <c r="W70" s="67" t="n">
        <f aca="false">IF(W$5="A",Inputs_Actuals!W126,V70-W68+W69)</f>
        <v>1.95121950636824</v>
      </c>
      <c r="X70" s="67" t="n">
        <f aca="false">IF(X$5="A",Inputs_Actuals!X126,W70-X68+X69)</f>
        <v>1.951219513695</v>
      </c>
      <c r="Y70" s="67" t="n">
        <f aca="false">IF(Y$5="A",Inputs_Actuals!Y126,X70-Y68+Y69)</f>
        <v>1.95121951257179</v>
      </c>
      <c r="Z70" s="67" t="n">
        <f aca="false">IF(Z$5="A",Inputs_Actuals!Z126,Y70-Z68+Z69)</f>
        <v>1.95121951222804</v>
      </c>
      <c r="AA70" s="67" t="n">
        <f aca="false">IF(AA$5="A",Inputs_Actuals!AA126,Z70-AA68+AA69)</f>
        <v>1.95121951217921</v>
      </c>
      <c r="AB70" s="67" t="n">
        <f aca="false">IF(AB$5="A",Inputs_Actuals!AB126,AA70-AB68+AB69)</f>
        <v>1.95121951219184</v>
      </c>
    </row>
    <row r="71" customFormat="false" ht="15" hidden="false" customHeight="false" outlineLevel="0" collapsed="false">
      <c r="A71" s="29" t="s">
        <v>1129</v>
      </c>
      <c r="B71" s="60" t="s">
        <v>1118</v>
      </c>
      <c r="C71" s="66" t="n">
        <f aca="false">SUM(E71:P71)</f>
        <v>0.147210864257813</v>
      </c>
      <c r="D71" s="66" t="n">
        <f aca="false">SUM(Q71:AB71)</f>
        <v>0.567116324062089</v>
      </c>
      <c r="E71" s="72" t="n">
        <f aca="false">0</f>
        <v>0</v>
      </c>
      <c r="F71" s="72" t="n">
        <f aca="false">0</f>
        <v>0</v>
      </c>
      <c r="G71" s="72" t="n">
        <f aca="false">0</f>
        <v>0</v>
      </c>
      <c r="H71" s="72" t="n">
        <f aca="false">0</f>
        <v>0</v>
      </c>
      <c r="I71" s="72" t="n">
        <f aca="false">0</f>
        <v>0</v>
      </c>
      <c r="J71" s="72" t="n">
        <f aca="false">0</f>
        <v>0</v>
      </c>
      <c r="K71" s="72" t="n">
        <f aca="false">0</f>
        <v>0</v>
      </c>
      <c r="L71" s="72" t="n">
        <f aca="false">0</f>
        <v>0</v>
      </c>
      <c r="M71" s="67" t="n">
        <f aca="false">L73*Assumptions!$C$99*Assumptions!$F$173/12</f>
        <v>0.0375</v>
      </c>
      <c r="N71" s="67" t="n">
        <f aca="false">M73*Assumptions!$C$99*Assumptions!$F$173/12</f>
        <v>0.03703125</v>
      </c>
      <c r="O71" s="67" t="n">
        <f aca="false">N73*Assumptions!$C$99*Assumptions!$F$173/12</f>
        <v>0.036568359375</v>
      </c>
      <c r="P71" s="67" t="n">
        <f aca="false">O73*Assumptions!$C$99*Assumptions!$F$173/12</f>
        <v>0.0361112548828125</v>
      </c>
      <c r="Q71" s="67" t="n">
        <f aca="false">P73*Assumptions!$C$99*Assumptions!$F$173/12</f>
        <v>0.0361286141967773</v>
      </c>
      <c r="R71" s="67" t="n">
        <f aca="false">Q73*Assumptions!$C$99*Assumptions!$F$173/12</f>
        <v>0.0486398971443176</v>
      </c>
      <c r="S71" s="67" t="n">
        <f aca="false">R73*Assumptions!$C$99*Assumptions!$F$173/12</f>
        <v>0.0484890029222012</v>
      </c>
      <c r="T71" s="67" t="n">
        <f aca="false">S73*Assumptions!$C$99*Assumptions!$F$173/12</f>
        <v>0.0483342810717088</v>
      </c>
      <c r="U71" s="67" t="n">
        <f aca="false">T73*Assumptions!$C$99*Assumptions!$F$173/12</f>
        <v>0.0481817102357722</v>
      </c>
      <c r="V71" s="67" t="n">
        <f aca="false">U73*Assumptions!$C$99*Assumptions!$F$173/12</f>
        <v>0.048187437572129</v>
      </c>
      <c r="W71" s="67" t="n">
        <f aca="false">V73*Assumptions!$C$99*Assumptions!$F$173/12</f>
        <v>0.0481912071390049</v>
      </c>
      <c r="X71" s="67" t="n">
        <f aca="false">W73*Assumptions!$C$99*Assumptions!$F$173/12</f>
        <v>0.0481929955631637</v>
      </c>
      <c r="Y71" s="67" t="n">
        <f aca="false">X73*Assumptions!$C$99*Assumptions!$F$173/12</f>
        <v>0.0481928544965713</v>
      </c>
      <c r="Z71" s="67" t="n">
        <f aca="false">Y73*Assumptions!$C$99*Assumptions!$F$173/12</f>
        <v>0.0481927867850158</v>
      </c>
      <c r="AA71" s="67" t="n">
        <f aca="false">Z73*Assumptions!$C$99*Assumptions!$F$173/12</f>
        <v>0.0481927670394406</v>
      </c>
      <c r="AB71" s="67" t="n">
        <f aca="false">AA73*Assumptions!$C$99*Assumptions!$F$173/12</f>
        <v>0.0481927698959872</v>
      </c>
    </row>
    <row r="72" customFormat="false" ht="15" hidden="false" customHeight="false" outlineLevel="0" collapsed="false">
      <c r="A72" s="29" t="s">
        <v>1130</v>
      </c>
      <c r="B72" s="60" t="s">
        <v>1120</v>
      </c>
      <c r="C72" s="66" t="n">
        <f aca="false">SUM(E72:P72)</f>
        <v>0.0375</v>
      </c>
      <c r="D72" s="66" t="n">
        <f aca="false">SUM(Q72:AB72)</f>
        <v>0.532248864599458</v>
      </c>
      <c r="E72" s="72" t="n">
        <f aca="false">0</f>
        <v>0</v>
      </c>
      <c r="F72" s="72" t="n">
        <f aca="false">0</f>
        <v>0</v>
      </c>
      <c r="G72" s="72" t="n">
        <f aca="false">0</f>
        <v>0</v>
      </c>
      <c r="H72" s="72" t="n">
        <f aca="false">0</f>
        <v>0</v>
      </c>
      <c r="I72" s="72" t="n">
        <f aca="false">0</f>
        <v>0</v>
      </c>
      <c r="J72" s="72" t="n">
        <f aca="false">0</f>
        <v>0</v>
      </c>
      <c r="K72" s="72" t="n">
        <f aca="false">0</f>
        <v>0</v>
      </c>
      <c r="L72" s="72" t="n">
        <f aca="false">0</f>
        <v>0</v>
      </c>
      <c r="M72" s="72" t="n">
        <f aca="false">0</f>
        <v>0</v>
      </c>
      <c r="N72" s="72" t="n">
        <f aca="false">0</f>
        <v>0</v>
      </c>
      <c r="O72" s="72" t="n">
        <f aca="false">0</f>
        <v>0</v>
      </c>
      <c r="P72" s="67" t="n">
        <f aca="false">M71*Assumptions!$F$174</f>
        <v>0.0375</v>
      </c>
      <c r="Q72" s="67" t="n">
        <f aca="false">N71*Assumptions!$F$174</f>
        <v>0.03703125</v>
      </c>
      <c r="R72" s="67" t="n">
        <f aca="false">O71*Assumptions!$F$174</f>
        <v>0.036568359375</v>
      </c>
      <c r="S72" s="67" t="n">
        <f aca="false">P71*Assumptions!$F$174</f>
        <v>0.0361112548828125</v>
      </c>
      <c r="T72" s="67" t="n">
        <f aca="false">Q71*Assumptions!$F$174</f>
        <v>0.0361286141967773</v>
      </c>
      <c r="U72" s="67" t="n">
        <f aca="false">R71*Assumptions!$F$174</f>
        <v>0.0486398971443176</v>
      </c>
      <c r="V72" s="67" t="n">
        <f aca="false">S71*Assumptions!$F$174</f>
        <v>0.0484890029222012</v>
      </c>
      <c r="W72" s="67" t="n">
        <f aca="false">T71*Assumptions!$F$174</f>
        <v>0.0483342810717088</v>
      </c>
      <c r="X72" s="67" t="n">
        <f aca="false">U71*Assumptions!$F$174</f>
        <v>0.0481817102357722</v>
      </c>
      <c r="Y72" s="67" t="n">
        <f aca="false">V71*Assumptions!$F$174</f>
        <v>0.048187437572129</v>
      </c>
      <c r="Z72" s="67" t="n">
        <f aca="false">W71*Assumptions!$F$174</f>
        <v>0.0481912071390049</v>
      </c>
      <c r="AA72" s="67" t="n">
        <f aca="false">X71*Assumptions!$F$174</f>
        <v>0.0481929955631637</v>
      </c>
      <c r="AB72" s="67" t="n">
        <f aca="false">Y71*Assumptions!$F$174</f>
        <v>0.0481928544965713</v>
      </c>
    </row>
    <row r="73" customFormat="false" ht="15" hidden="false" customHeight="false" outlineLevel="0" collapsed="false">
      <c r="A73" s="29" t="s">
        <v>1131</v>
      </c>
      <c r="B73" s="60" t="s">
        <v>1132</v>
      </c>
      <c r="C73" s="66" t="n">
        <f aca="false">P73</f>
        <v>2.89028913574219</v>
      </c>
      <c r="D73" s="66" t="n">
        <f aca="false">AB73</f>
        <v>3.85542167627956</v>
      </c>
      <c r="E73" s="67" t="n">
        <f aca="false">IF(E$5="A",Inputs_Actuals!E127,Inputs_Actuals!E127+E12-E71+E72-IF(Assumptions!E$186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F73" s="67" t="n">
        <f aca="false">IF(F$5="A",Inputs_Actuals!F127,E73+F12-F71+F72-IF(Assumptions!F$186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G73" s="67" t="n">
        <f aca="false">IF(G$5="A",Inputs_Actuals!G127,F73+G12-G71+G72-IF(Assumptions!G$186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H73" s="67" t="n">
        <f aca="false">IF(H$5="A",Inputs_Actuals!H127,G73+H12-H71+H72-IF(Assumptions!H$186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I73" s="67" t="n">
        <f aca="false">IF(I$5="A",Inputs_Actuals!I127,H73+I12-I71+I72-IF(Assumptions!I$186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J73" s="67" t="n">
        <f aca="false">IF(J$5="A",Inputs_Actuals!J127,I73+J12-J71+J72-IF(Assumptions!J$186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K73" s="67" t="n">
        <f aca="false">IF(K$5="A",Inputs_Actuals!K127,J73+K12-K71+K72-IF(Assumptions!K$186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L73" s="67" t="n">
        <f aca="false">IF(L$5="A",Inputs_Actuals!L127,K73+L12-L71+L72-IF(Assumptions!L$186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v>
      </c>
      <c r="M73" s="67" t="n">
        <f aca="false">IF(M$5="A",Inputs_Actuals!M127,L73+M12-M71+M72-IF(Assumptions!M$186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2.9625</v>
      </c>
      <c r="N73" s="67" t="n">
        <f aca="false">IF(N$5="A",Inputs_Actuals!N127,M73+N12-N71+N72-IF(Assumptions!N$186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2.92546875</v>
      </c>
      <c r="O73" s="67" t="n">
        <f aca="false">IF(O$5="A",Inputs_Actuals!O127,N73+O12-O71+O72-IF(Assumptions!O$186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2.888900390625</v>
      </c>
      <c r="P73" s="67" t="n">
        <f aca="false">IF(P$5="A",Inputs_Actuals!P127,O73+P12-P71+P72-IF(Assumptions!P$186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2.89028913574219</v>
      </c>
      <c r="Q73" s="67" t="n">
        <f aca="false">IF(Q$5="A",Inputs_Actuals!Q127,P73+Q12-Q71+Q72-IF(Assumptions!Q$186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3.89119177154541</v>
      </c>
      <c r="R73" s="67" t="n">
        <f aca="false">IF(R$5="A",Inputs_Actuals!R127,Q73+R12-R71+R72-IF(Assumptions!R$186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3.87912023377609</v>
      </c>
      <c r="S73" s="67" t="n">
        <f aca="false">IF(S$5="A",Inputs_Actuals!S127,R73+S12-S71+S72-IF(Assumptions!S$186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3.8667424857367</v>
      </c>
      <c r="T73" s="67" t="n">
        <f aca="false">IF(T$5="A",Inputs_Actuals!T127,S73+T12-T71+T72-IF(Assumptions!T$186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3.85453681886177</v>
      </c>
      <c r="U73" s="67" t="n">
        <f aca="false">IF(U$5="A",Inputs_Actuals!U127,T73+U12-U71+U72-IF(Assumptions!U$186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3.85499500577032</v>
      </c>
      <c r="V73" s="67" t="n">
        <f aca="false">IF(V$5="A",Inputs_Actuals!V127,U73+V12-V71+V72-IF(Assumptions!V$186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3.85529657112039</v>
      </c>
      <c r="W73" s="67" t="n">
        <f aca="false">IF(W$5="A",Inputs_Actuals!W127,V73+W12-W71+W72-IF(Assumptions!W$186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3.85543964505309</v>
      </c>
      <c r="X73" s="67" t="n">
        <f aca="false">IF(X$5="A",Inputs_Actuals!X127,W73+X12-X71+X72-IF(Assumptions!X$186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3.8554283597257</v>
      </c>
      <c r="Y73" s="67" t="n">
        <f aca="false">IF(Y$5="A",Inputs_Actuals!Y127,X73+Y12-Y71+Y72-IF(Assumptions!Y$186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3.85542294280126</v>
      </c>
      <c r="Z73" s="67" t="n">
        <f aca="false">IF(Z$5="A",Inputs_Actuals!Z127,Y73+Z12-Z71+Z72-IF(Assumptions!Z$186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3.85542136315525</v>
      </c>
      <c r="AA73" s="67" t="n">
        <f aca="false">IF(AA$5="A",Inputs_Actuals!AA127,Z73+AA12-AA71+AA72-IF(Assumptions!AA$186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3.85542159167897</v>
      </c>
      <c r="AB73" s="67" t="n">
        <f aca="false">IF(AB$5="A",Inputs_Actuals!AB127,AA73+AB12-AB71+AB72-IF(Assumptions!AB$186=Assumptions!$F$178,Assumptions!$F$177*INDEX(Inputs_Actuals!$E$127:$AB$127,Assumptions!$C$10)/(INDEX(Inputs_Actuals!$E$122:$AB$122,Assumptions!$C$10)+INDEX(Inputs_Actuals!$E$123:$AB$123,Assumptions!$C$10)+INDEX(Inputs_Actuals!$E$127:$AB$127,Assumptions!$C$10)+INDEX(Inputs_Actuals!$E$128:$AB$128,Assumptions!$C$10)+INDEX(Inputs_Actuals!$E$132:$AB$132,Assumptions!$C$10)+INDEX(Inputs_Actuals!$E$133:$AB$133,Assumptions!$C$10)),0))</f>
        <v>3.85542167627956</v>
      </c>
    </row>
    <row r="74" customFormat="false" ht="15" hidden="false" customHeight="false" outlineLevel="0" collapsed="false">
      <c r="A74" s="29" t="s">
        <v>1133</v>
      </c>
      <c r="B74" s="60" t="s">
        <v>1118</v>
      </c>
      <c r="C74" s="66" t="n">
        <f aca="false">SUM(E74:P74)</f>
        <v>0.147210864257813</v>
      </c>
      <c r="D74" s="66" t="n">
        <f aca="false">SUM(Q74:AB74)</f>
        <v>0.470748452962616</v>
      </c>
      <c r="E74" s="72" t="n">
        <f aca="false">0</f>
        <v>0</v>
      </c>
      <c r="F74" s="72" t="n">
        <f aca="false">0</f>
        <v>0</v>
      </c>
      <c r="G74" s="72" t="n">
        <f aca="false">0</f>
        <v>0</v>
      </c>
      <c r="H74" s="72" t="n">
        <f aca="false">0</f>
        <v>0</v>
      </c>
      <c r="I74" s="72" t="n">
        <f aca="false">0</f>
        <v>0</v>
      </c>
      <c r="J74" s="72" t="n">
        <f aca="false">0</f>
        <v>0</v>
      </c>
      <c r="K74" s="72" t="n">
        <f aca="false">0</f>
        <v>0</v>
      </c>
      <c r="L74" s="72" t="n">
        <f aca="false">0</f>
        <v>0</v>
      </c>
      <c r="M74" s="67" t="n">
        <f aca="false">L76*Assumptions!$C$100*Assumptions!$F$173/12</f>
        <v>0.0375</v>
      </c>
      <c r="N74" s="67" t="n">
        <f aca="false">M76*Assumptions!$C$100*Assumptions!$F$173/12</f>
        <v>0.03703125</v>
      </c>
      <c r="O74" s="67" t="n">
        <f aca="false">N76*Assumptions!$C$100*Assumptions!$F$173/12</f>
        <v>0.036568359375</v>
      </c>
      <c r="P74" s="67" t="n">
        <f aca="false">O76*Assumptions!$C$100*Assumptions!$F$173/12</f>
        <v>0.0361112548828125</v>
      </c>
      <c r="Q74" s="67" t="n">
        <f aca="false">P76*Assumptions!$C$100*Assumptions!$F$173/12</f>
        <v>0.0361286141967773</v>
      </c>
      <c r="R74" s="67" t="n">
        <f aca="false">Q76*Assumptions!$C$100*Assumptions!$F$173/12</f>
        <v>0.0361398971443176</v>
      </c>
      <c r="S74" s="67" t="n">
        <f aca="false">R76*Assumptions!$C$100*Assumptions!$F$173/12</f>
        <v>0.0361452529222012</v>
      </c>
      <c r="T74" s="67" t="n">
        <f aca="false">S76*Assumptions!$C$100*Assumptions!$F$173/12</f>
        <v>0.0361448279467088</v>
      </c>
      <c r="U74" s="67" t="n">
        <f aca="false">T76*Assumptions!$C$100*Assumptions!$F$173/12</f>
        <v>0.0361446252748347</v>
      </c>
      <c r="V74" s="67" t="n">
        <f aca="false">U76*Assumptions!$C$100*Assumptions!$F$173/12</f>
        <v>0.0361445661732032</v>
      </c>
      <c r="W74" s="67" t="n">
        <f aca="false">V76*Assumptions!$C$100*Assumptions!$F$173/12</f>
        <v>0.0361445747575657</v>
      </c>
      <c r="X74" s="67" t="n">
        <f aca="false">W76*Assumptions!$C$100*Assumptions!$F$173/12</f>
        <v>0.03614457792243</v>
      </c>
      <c r="Y74" s="67" t="n">
        <f aca="false">X76*Assumptions!$C$100*Assumptions!$F$173/12</f>
        <v>0.036144578514335</v>
      </c>
      <c r="Z74" s="67" t="n">
        <f aca="false">Y76*Assumptions!$C$100*Assumptions!$F$173/12</f>
        <v>0.0486445783600709</v>
      </c>
      <c r="AA74" s="67" t="n">
        <f aca="false">Z76*Assumptions!$C$100*Assumptions!$F$173/12</f>
        <v>0.0484883283150396</v>
      </c>
      <c r="AB74" s="67" t="n">
        <f aca="false">AA76*Assumptions!$C$100*Assumptions!$F$173/12</f>
        <v>0.0483340314351319</v>
      </c>
    </row>
    <row r="75" customFormat="false" ht="15" hidden="false" customHeight="false" outlineLevel="0" collapsed="false">
      <c r="A75" s="29" t="s">
        <v>1134</v>
      </c>
      <c r="B75" s="60" t="s">
        <v>1120</v>
      </c>
      <c r="C75" s="66" t="n">
        <f aca="false">SUM(E75:P75)</f>
        <v>0.0375</v>
      </c>
      <c r="D75" s="66" t="n">
        <f aca="false">SUM(Q75:AB75)</f>
        <v>0.434992379110186</v>
      </c>
      <c r="E75" s="72" t="n">
        <f aca="false">0</f>
        <v>0</v>
      </c>
      <c r="F75" s="72" t="n">
        <f aca="false">0</f>
        <v>0</v>
      </c>
      <c r="G75" s="72" t="n">
        <f aca="false">0</f>
        <v>0</v>
      </c>
      <c r="H75" s="72" t="n">
        <f aca="false">0</f>
        <v>0</v>
      </c>
      <c r="I75" s="72" t="n">
        <f aca="false">0</f>
        <v>0</v>
      </c>
      <c r="J75" s="72" t="n">
        <f aca="false">0</f>
        <v>0</v>
      </c>
      <c r="K75" s="72" t="n">
        <f aca="false">0</f>
        <v>0</v>
      </c>
      <c r="L75" s="72" t="n">
        <f aca="false">0</f>
        <v>0</v>
      </c>
      <c r="M75" s="72" t="n">
        <f aca="false">0</f>
        <v>0</v>
      </c>
      <c r="N75" s="72" t="n">
        <f aca="false">0</f>
        <v>0</v>
      </c>
      <c r="O75" s="72" t="n">
        <f aca="false">0</f>
        <v>0</v>
      </c>
      <c r="P75" s="67" t="n">
        <f aca="false">M74*Assumptions!$F$174</f>
        <v>0.0375</v>
      </c>
      <c r="Q75" s="67" t="n">
        <f aca="false">N74*Assumptions!$F$174</f>
        <v>0.03703125</v>
      </c>
      <c r="R75" s="67" t="n">
        <f aca="false">O74*Assumptions!$F$174</f>
        <v>0.036568359375</v>
      </c>
      <c r="S75" s="67" t="n">
        <f aca="false">P74*Assumptions!$F$174</f>
        <v>0.0361112548828125</v>
      </c>
      <c r="T75" s="67" t="n">
        <f aca="false">Q74*Assumptions!$F$174</f>
        <v>0.0361286141967773</v>
      </c>
      <c r="U75" s="67" t="n">
        <f aca="false">R74*Assumptions!$F$174</f>
        <v>0.0361398971443176</v>
      </c>
      <c r="V75" s="67" t="n">
        <f aca="false">S74*Assumptions!$F$174</f>
        <v>0.0361452529222012</v>
      </c>
      <c r="W75" s="67" t="n">
        <f aca="false">T74*Assumptions!$F$174</f>
        <v>0.0361448279467088</v>
      </c>
      <c r="X75" s="67" t="n">
        <f aca="false">U74*Assumptions!$F$174</f>
        <v>0.0361446252748347</v>
      </c>
      <c r="Y75" s="67" t="n">
        <f aca="false">V74*Assumptions!$F$174</f>
        <v>0.0361445661732032</v>
      </c>
      <c r="Z75" s="67" t="n">
        <f aca="false">W74*Assumptions!$F$174</f>
        <v>0.0361445747575657</v>
      </c>
      <c r="AA75" s="67" t="n">
        <f aca="false">X74*Assumptions!$F$174</f>
        <v>0.03614457792243</v>
      </c>
      <c r="AB75" s="67" t="n">
        <f aca="false">Y74*Assumptions!$F$174</f>
        <v>0.036144578514335</v>
      </c>
    </row>
    <row r="76" customFormat="false" ht="15" hidden="false" customHeight="false" outlineLevel="0" collapsed="false">
      <c r="A76" s="29" t="s">
        <v>1135</v>
      </c>
      <c r="B76" s="60" t="s">
        <v>1132</v>
      </c>
      <c r="C76" s="66" t="n">
        <f aca="false">P76</f>
        <v>2.89028913574219</v>
      </c>
      <c r="D76" s="66" t="n">
        <f aca="false">AB76</f>
        <v>3.85453306188976</v>
      </c>
      <c r="E76" s="67" t="n">
        <f aca="false">IF(E$5="A",Inputs_Actuals!E128,Inputs_Actuals!E128+E16-E74+E75-IF(Assumptions!E$186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v>
      </c>
      <c r="F76" s="67" t="n">
        <f aca="false">IF(F$5="A",Inputs_Actuals!F128,E76+F16-F74+F75-IF(Assumptions!F$186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v>
      </c>
      <c r="G76" s="67" t="n">
        <f aca="false">IF(G$5="A",Inputs_Actuals!G128,F76+G16-G74+G75-IF(Assumptions!G$186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H76" s="67" t="n">
        <f aca="false">IF(H$5="A",Inputs_Actuals!H128,G76+H16-H74+H75-IF(Assumptions!H$186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I76" s="67" t="n">
        <f aca="false">IF(I$5="A",Inputs_Actuals!I128,H76+I16-I74+I75-IF(Assumptions!I$186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J76" s="67" t="n">
        <f aca="false">IF(J$5="A",Inputs_Actuals!J128,I76+J16-J74+J75-IF(Assumptions!J$186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K76" s="67" t="n">
        <f aca="false">IF(K$5="A",Inputs_Actuals!K128,J76+K16-K74+K75-IF(Assumptions!K$186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L76" s="67" t="n">
        <f aca="false">IF(L$5="A",Inputs_Actuals!L128,K76+L16-L74+L75-IF(Assumptions!L$186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v>
      </c>
      <c r="M76" s="67" t="n">
        <f aca="false">IF(M$5="A",Inputs_Actuals!M128,L76+M16-M74+M75-IF(Assumptions!M$186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2.9625</v>
      </c>
      <c r="N76" s="67" t="n">
        <f aca="false">IF(N$5="A",Inputs_Actuals!N128,M76+N16-N74+N75-IF(Assumptions!N$186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2.92546875</v>
      </c>
      <c r="O76" s="67" t="n">
        <f aca="false">IF(O$5="A",Inputs_Actuals!O128,N76+O16-O74+O75-IF(Assumptions!O$186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2.888900390625</v>
      </c>
      <c r="P76" s="67" t="n">
        <f aca="false">IF(P$5="A",Inputs_Actuals!P128,O76+P16-P74+P75-IF(Assumptions!P$186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2.89028913574219</v>
      </c>
      <c r="Q76" s="67" t="n">
        <f aca="false">IF(Q$5="A",Inputs_Actuals!Q128,P76+Q16-Q74+Q75-IF(Assumptions!Q$186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2.89119177154541</v>
      </c>
      <c r="R76" s="67" t="n">
        <f aca="false">IF(R$5="A",Inputs_Actuals!R128,Q76+R16-R74+R75-IF(Assumptions!R$186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2.89162023377609</v>
      </c>
      <c r="S76" s="67" t="n">
        <f aca="false">IF(S$5="A",Inputs_Actuals!S128,R76+S16-S74+S75-IF(Assumptions!S$186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2.8915862357367</v>
      </c>
      <c r="T76" s="67" t="n">
        <f aca="false">IF(T$5="A",Inputs_Actuals!T128,S76+T16-T74+T75-IF(Assumptions!T$186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2.89157002198677</v>
      </c>
      <c r="U76" s="67" t="n">
        <f aca="false">IF(U$5="A",Inputs_Actuals!U128,T76+U16-U74+U75-IF(Assumptions!U$186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2.89156529385626</v>
      </c>
      <c r="V76" s="67" t="n">
        <f aca="false">IF(V$5="A",Inputs_Actuals!V128,U76+V16-V74+V75-IF(Assumptions!V$186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2.89156598060525</v>
      </c>
      <c r="W76" s="67" t="n">
        <f aca="false">IF(W$5="A",Inputs_Actuals!W128,V76+W16-W74+W75-IF(Assumptions!W$186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2.8915662337944</v>
      </c>
      <c r="X76" s="67" t="n">
        <f aca="false">IF(X$5="A",Inputs_Actuals!X128,W76+X16-X74+X75-IF(Assumptions!X$186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2.8915662811468</v>
      </c>
      <c r="Y76" s="67" t="n">
        <f aca="false">IF(Y$5="A",Inputs_Actuals!Y128,X76+Y16-Y74+Y75-IF(Assumptions!Y$186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3.89156626880567</v>
      </c>
      <c r="Z76" s="67" t="n">
        <f aca="false">IF(Z$5="A",Inputs_Actuals!Z128,Y76+Z16-Z74+Z75-IF(Assumptions!Z$186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3.87906626520316</v>
      </c>
      <c r="AA76" s="67" t="n">
        <f aca="false">IF(AA$5="A",Inputs_Actuals!AA128,Z76+AA16-AA74+AA75-IF(Assumptions!AA$186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3.86672251481056</v>
      </c>
      <c r="AB76" s="67" t="n">
        <f aca="false">IF(AB$5="A",Inputs_Actuals!AB128,AA76+AB16-AB74+AB75-IF(Assumptions!AB$186=Assumptions!$F$178,Assumptions!$F$177*INDEX(Inputs_Actuals!$E$128:$AB$128,Assumptions!$C$10)/(INDEX(Inputs_Actuals!$E$122:$AB$122,Assumptions!$C$10)+INDEX(Inputs_Actuals!$E$123:$AB$123,Assumptions!$C$10)+INDEX(Inputs_Actuals!$E$127:$AB$127,Assumptions!$C$10)+INDEX(Inputs_Actuals!$E$128:$AB$128,Assumptions!$C$10)+INDEX(Inputs_Actuals!$E$132:$AB$132,Assumptions!$C$10)+INDEX(Inputs_Actuals!$E$133:$AB$133,Assumptions!$C$10)),0))</f>
        <v>3.85453306188976</v>
      </c>
    </row>
    <row r="77" customFormat="false" ht="15" hidden="false" customHeight="false" outlineLevel="0" collapsed="false">
      <c r="A77" s="29" t="s">
        <v>1136</v>
      </c>
      <c r="B77" s="60" t="s">
        <v>1137</v>
      </c>
      <c r="C77" s="61" t="n">
        <f aca="false">SUM(E77:P77)</f>
        <v>991984.534304744</v>
      </c>
      <c r="D77" s="61" t="n">
        <f aca="false">SUM(Q77:AB77)</f>
        <v>1139118.27902575</v>
      </c>
      <c r="E77" s="62" t="n">
        <f aca="false">IF(E$5="A",Inputs_Actuals!E168,E64*E21+E67*E24+E70*E27+E73*E30+E76*E33)</f>
        <v>70021.03</v>
      </c>
      <c r="F77" s="62" t="n">
        <f aca="false">IF(F$5="A",Inputs_Actuals!F168,F64*F21+F67*F24+F70*F27+F73*F30+F76*F33)</f>
        <v>79172.78</v>
      </c>
      <c r="G77" s="62" t="n">
        <f aca="false">IF(G$5="A",Inputs_Actuals!G168,G64*G21+G67*G24+G70*G27+G73*G30+G76*G33)</f>
        <v>84936.01</v>
      </c>
      <c r="H77" s="62" t="n">
        <f aca="false">IF(H$5="A",Inputs_Actuals!H168,H64*H21+H67*H24+H70*H27+H73*H30+H76*H33)</f>
        <v>85164.66</v>
      </c>
      <c r="I77" s="62" t="n">
        <f aca="false">IF(I$5="A",Inputs_Actuals!I168,I64*I21+I67*I24+I70*I27+I73*I30+I76*I33)</f>
        <v>84665.63</v>
      </c>
      <c r="J77" s="62" t="n">
        <f aca="false">IF(J$5="A",Inputs_Actuals!J168,J64*J21+J67*J24+J70*J27+J73*J30+J76*J33)</f>
        <v>84656.26</v>
      </c>
      <c r="K77" s="62" t="n">
        <f aca="false">IF(K$5="A",Inputs_Actuals!K168,K64*K21+K67*K24+K70*K27+K73*K30+K76*K33)</f>
        <v>84883.94</v>
      </c>
      <c r="L77" s="62" t="n">
        <f aca="false">IF(L$5="A",Inputs_Actuals!L168,L64*L21+L67*L24+L70*L27+L73*L30+L76*L33)</f>
        <v>85213.16</v>
      </c>
      <c r="M77" s="62" t="n">
        <f aca="false">IF(M$5="A",Inputs_Actuals!M168,M64*M21+M67*M24+M70*M27+M73*M30+M76*M33)</f>
        <v>84128.6458333333</v>
      </c>
      <c r="N77" s="62" t="n">
        <f aca="false">IF(N$5="A",Inputs_Actuals!N168,N64*N21+N67*N24+N70*N27+N73*N30+N76*N33)</f>
        <v>83472.8247974537</v>
      </c>
      <c r="O77" s="62" t="n">
        <f aca="false">IF(O$5="A",Inputs_Actuals!O168,O64*O21+O67*O24+O70*O27+O73*O30+O76*O33)</f>
        <v>82824.1207953559</v>
      </c>
      <c r="P77" s="62" t="n">
        <f aca="false">IF(P$5="A",Inputs_Actuals!P168,P64*P21+P67*P24+P70*P27+P73*P30+P76*P33)</f>
        <v>82845.4728786013</v>
      </c>
      <c r="Q77" s="62" t="n">
        <f aca="false">IF(Q$5="A",Inputs_Actuals!Q168,Q64*Q21+Q67*Q24+Q70*Q27+Q73*Q30+Q76*Q33)</f>
        <v>93367.0883328321</v>
      </c>
      <c r="R77" s="62" t="n">
        <f aca="false">IF(R$5="A",Inputs_Actuals!R168,R64*R21+R67*R24+R70*R27+R73*R30+R76*R33)</f>
        <v>93284.0670861887</v>
      </c>
      <c r="S77" s="62" t="n">
        <f aca="false">IF(S$5="A",Inputs_Actuals!S168,S64*S21+S67*S24+S70*S27+S73*S30+S76*S33)</f>
        <v>93194.7740871384</v>
      </c>
      <c r="T77" s="62" t="n">
        <f aca="false">IF(T$5="A",Inputs_Actuals!T168,T64*T21+T67*T24+T70*T27+T73*T30+T76*T33)</f>
        <v>93106.8521002556</v>
      </c>
      <c r="U77" s="62" t="n">
        <f aca="false">IF(U$5="A",Inputs_Actuals!U168,U64*U21+U67*U24+U70*U27+U73*U30+U76*U33)</f>
        <v>93110.1117191564</v>
      </c>
      <c r="V77" s="62" t="n">
        <f aca="false">IF(V$5="A",Inputs_Actuals!V168,V64*V21+V67*V24+V70*V27+V73*V30+V76*V33)</f>
        <v>93112.2856350055</v>
      </c>
      <c r="W77" s="62" t="n">
        <f aca="false">IF(W$5="A",Inputs_Actuals!W168,W64*W21+W67*W24+W70*W27+W73*W30+W76*W33)</f>
        <v>93113.3165402704</v>
      </c>
      <c r="X77" s="62" t="n">
        <f aca="false">IF(X$5="A",Inputs_Actuals!X168,X64*X21+X67*X24+X70*X27+X73*X30+X76*X33)</f>
        <v>93113.2356922432</v>
      </c>
      <c r="Y77" s="62" t="n">
        <f aca="false">IF(Y$5="A",Inputs_Actuals!Y168,Y64*Y21+Y67*Y24+Y70*Y27+Y73*Y30+Y76*Y33)</f>
        <v>98529.8633151768</v>
      </c>
      <c r="Z77" s="62" t="n">
        <f aca="false">IF(Z$5="A",Inputs_Actuals!Z168,Z64*Z21+Z67*Z24+Z70*Z27+Z73*Z30+Z76*Z33)</f>
        <v>98462.1435959962</v>
      </c>
      <c r="AA77" s="62" t="n">
        <f aca="false">IF(AA$5="A",Inputs_Actuals!AA168,AA64*AA21+AA67*AA24+AA70*AA27+AA73*AA30+AA76*AA33)</f>
        <v>98395.283258063</v>
      </c>
      <c r="AB77" s="62" t="n">
        <f aca="false">IF(AB$5="A",Inputs_Actuals!AB168,AB64*AB21+AB67*AB24+AB70*AB27+AB73*AB30+AB76*AB33)</f>
        <v>98329.2576634262</v>
      </c>
    </row>
    <row r="78" customFormat="false" ht="15" hidden="false" customHeight="false" outlineLevel="0" collapsed="false">
      <c r="A78" s="29" t="s">
        <v>1138</v>
      </c>
      <c r="B78" s="60" t="s">
        <v>1139</v>
      </c>
      <c r="C78" s="61" t="n">
        <f aca="false">SUM(E78:P78)</f>
        <v>160540.992454068</v>
      </c>
      <c r="D78" s="61" t="n">
        <f aca="false">SUM(Q78:AB78)</f>
        <v>192348.104559718</v>
      </c>
      <c r="E78" s="62" t="n">
        <f aca="false">IF(E$5="A",Inputs_Actuals!E169,E64*E22+E67*E25+E70*E28+E73*E31+E76*E34)</f>
        <v>11093.97</v>
      </c>
      <c r="F78" s="62" t="n">
        <f aca="false">IF(F$5="A",Inputs_Actuals!F169,F64*F22+F67*F25+F70*F28+F73*F31+F76*F34)</f>
        <v>12648.82</v>
      </c>
      <c r="G78" s="62" t="n">
        <f aca="false">IF(G$5="A",Inputs_Actuals!G169,G64*G22+G67*G25+G70*G28+G73*G31+G76*G34)</f>
        <v>13799.32</v>
      </c>
      <c r="H78" s="62" t="n">
        <f aca="false">IF(H$5="A",Inputs_Actuals!H169,H64*H22+H67*H25+H70*H28+H73*H31+H76*H34)</f>
        <v>13797.57</v>
      </c>
      <c r="I78" s="62" t="n">
        <f aca="false">IF(I$5="A",Inputs_Actuals!I169,I64*I22+I67*I25+I70*I28+I73*I31+I76*I34)</f>
        <v>13797.1</v>
      </c>
      <c r="J78" s="62" t="n">
        <f aca="false">IF(J$5="A",Inputs_Actuals!J169,J64*J22+J67*J25+J70*J28+J73*J31+J76*J34)</f>
        <v>13770.5</v>
      </c>
      <c r="K78" s="62" t="n">
        <f aca="false">IF(K$5="A",Inputs_Actuals!K169,K64*K22+K67*K25+K70*K28+K73*K31+K76*K34)</f>
        <v>13812.03</v>
      </c>
      <c r="L78" s="62" t="n">
        <f aca="false">IF(L$5="A",Inputs_Actuals!L169,L64*L22+L67*L25+L70*L28+L73*L31+L76*L34)</f>
        <v>13830.93</v>
      </c>
      <c r="M78" s="62" t="n">
        <f aca="false">IF(M$5="A",Inputs_Actuals!M169,M64*M22+M67*M25+M70*M28+M73*M31+M76*M34)</f>
        <v>13652.6872395833</v>
      </c>
      <c r="N78" s="62" t="n">
        <f aca="false">IF(N$5="A",Inputs_Actuals!N169,N64*N22+N67*N25+N70*N28+N73*N31+N76*N34)</f>
        <v>13527.2813955729</v>
      </c>
      <c r="O78" s="62" t="n">
        <f aca="false">IF(O$5="A",Inputs_Actuals!O169,O64*O22+O67*O25+O70*O28+O73*O31+O76*O34)</f>
        <v>13403.2820547513</v>
      </c>
      <c r="P78" s="62" t="n">
        <f aca="false">IF(P$5="A",Inputs_Actuals!P169,P64*P22+P67*P25+P70*P28+P73*P31+P76*P34)</f>
        <v>13407.5017641603</v>
      </c>
      <c r="Q78" s="62" t="n">
        <f aca="false">IF(Q$5="A",Inputs_Actuals!Q169,Q64*Q22+Q67*Q25+Q70*Q28+Q73*Q31+Q76*Q34)</f>
        <v>15687.7780353226</v>
      </c>
      <c r="R78" s="62" t="n">
        <f aca="false">IF(R$5="A",Inputs_Actuals!R169,R64*R22+R67*R25+R70*R28+R73*R31+R76*R34)</f>
        <v>15670.709246669</v>
      </c>
      <c r="S78" s="62" t="n">
        <f aca="false">IF(S$5="A",Inputs_Actuals!S169,S64*S22+S67*S25+S70*S28+S73*S31+S76*S34)</f>
        <v>15652.3869819147</v>
      </c>
      <c r="T78" s="62" t="n">
        <f aca="false">IF(T$5="A",Inputs_Actuals!T169,T64*T22+T67*T25+T70*T28+T73*T31+T76*T34)</f>
        <v>15634.3458178949</v>
      </c>
      <c r="U78" s="62" t="n">
        <f aca="false">IF(U$5="A",Inputs_Actuals!U169,U64*U22+U67*U25+U70*U28+U73*U31+U76*U34)</f>
        <v>15635.0147811939</v>
      </c>
      <c r="V78" s="62" t="n">
        <f aca="false">IF(V$5="A",Inputs_Actuals!V169,V64*V22+V67*V25+V70*V28+V73*V31+V76*V34)</f>
        <v>15635.4608754576</v>
      </c>
      <c r="W78" s="62" t="n">
        <f aca="false">IF(W$5="A",Inputs_Actuals!W169,W64*W22+W67*W25+W70*W28+W73*W31+W76*W34)</f>
        <v>15635.6724188602</v>
      </c>
      <c r="X78" s="62" t="n">
        <f aca="false">IF(X$5="A",Inputs_Actuals!X169,X64*X22+X67*X25+X70*X28+X73*X31+X76*X34)</f>
        <v>15635.6558293843</v>
      </c>
      <c r="Y78" s="62" t="n">
        <f aca="false">IF(Y$5="A",Inputs_Actuals!Y169,Y64*Y22+Y67*Y25+Y70*Y28+Y73*Y31+Y76*Y34)</f>
        <v>16812.1478172752</v>
      </c>
      <c r="Z78" s="62" t="n">
        <f aca="false">IF(Z$5="A",Inputs_Actuals!Z169,Z64*Z22+Z67*Z25+Z70*Z28+Z73*Z31+Z76*Z34)</f>
        <v>16797.4392308073</v>
      </c>
      <c r="AA78" s="62" t="n">
        <f aca="false">IF(AA$5="A",Inputs_Actuals!AA169,AA64*AA22+AA67*AA25+AA70*AA28+AA73*AA31+AA76*AA34)</f>
        <v>16782.9171457018</v>
      </c>
      <c r="AB78" s="62" t="n">
        <f aca="false">IF(AB$5="A",Inputs_Actuals!AB169,AB64*AB22+AB67*AB25+AB70*AB28+AB73*AB31+AB76*AB34)</f>
        <v>16768.576379237</v>
      </c>
    </row>
    <row r="79" customFormat="false" ht="15" hidden="false" customHeight="false" outlineLevel="0" collapsed="false">
      <c r="A79" s="29" t="s">
        <v>1140</v>
      </c>
      <c r="B79" s="60" t="s">
        <v>1141</v>
      </c>
      <c r="C79" s="61" t="n">
        <f aca="false">SUM(E79:P79)</f>
        <v>157318.280625703</v>
      </c>
      <c r="D79" s="61" t="n">
        <f aca="false">SUM(Q79:AB79)</f>
        <v>188805.634214267</v>
      </c>
      <c r="E79" s="71" t="n">
        <f aca="false">E64*E23+E67*E26+E70*E29+E73*E32+E76*E35</f>
        <v>10877.7375</v>
      </c>
      <c r="F79" s="71" t="n">
        <f aca="false">F64*F23+F67*F26+F70*F29+F73*F32+F76*F35</f>
        <v>12400.60625</v>
      </c>
      <c r="G79" s="71" t="n">
        <f aca="false">G64*G23+G67*G26+G70*G29+G73*G32+G76*G35</f>
        <v>13514.66875</v>
      </c>
      <c r="H79" s="71" t="n">
        <f aca="false">H64*H23+H67*H26+H70*H29+H73*H32+H76*H35</f>
        <v>13514.66875</v>
      </c>
      <c r="I79" s="71" t="n">
        <f aca="false">I64*I23+I67*I26+I70*I29+I73*I32+I76*I35</f>
        <v>13514.66875</v>
      </c>
      <c r="J79" s="71" t="n">
        <f aca="false">J64*J23+J67*J26+J70*J29+J73*J32+J76*J35</f>
        <v>13514.66875</v>
      </c>
      <c r="K79" s="71" t="n">
        <f aca="false">K64*K23+K67*K26+K70*K29+K73*K32+K76*K35</f>
        <v>13514.66875</v>
      </c>
      <c r="L79" s="71" t="n">
        <f aca="false">L64*L23+L67*L26+L70*L29+L73*L32+L76*L35</f>
        <v>13514.66875</v>
      </c>
      <c r="M79" s="71" t="n">
        <f aca="false">M64*M23+M67*M26+M70*M29+M73*M32+M76*M35</f>
        <v>13390.1523958333</v>
      </c>
      <c r="N79" s="71" t="n">
        <f aca="false">N64*N23+N67*N26+N70*N29+N73*N32+N76*N35</f>
        <v>13267.0338639323</v>
      </c>
      <c r="O79" s="71" t="n">
        <f aca="false">O64*O23+O67*O26+O70*O29+O73*O32+O76*O35</f>
        <v>13145.2967831308</v>
      </c>
      <c r="P79" s="71" t="n">
        <f aca="false">P64*P23+P67*P26+P70*P29+P73*P32+P76*P35</f>
        <v>13149.4413328069</v>
      </c>
      <c r="Q79" s="71" t="n">
        <f aca="false">Q64*Q23+Q67*Q26+Q70*Q29+Q73*Q32+Q76*Q35</f>
        <v>15397.659633193</v>
      </c>
      <c r="R79" s="71" t="n">
        <f aca="false">R64*R23+R67*R26+R70*R29+R73*R32+R76*R35</f>
        <v>15380.8882560889</v>
      </c>
      <c r="S79" s="71" t="n">
        <f aca="false">S64*S23+S67*S26+S70*S29+S73*S32+S76*S35</f>
        <v>15362.884985696</v>
      </c>
      <c r="T79" s="71" t="n">
        <f aca="false">T64*T23+T67*T26+T70*T29+T73*T32+T76*T35</f>
        <v>15345.1579446489</v>
      </c>
      <c r="U79" s="71" t="n">
        <f aca="false">U64*U23+U67*U26+U70*U29+U73*U32+U76*U35</f>
        <v>15345.8152538975</v>
      </c>
      <c r="V79" s="71" t="n">
        <f aca="false">V64*V23+V67*V26+V70*V29+V73*V32+V76*V35</f>
        <v>15346.2535817014</v>
      </c>
      <c r="W79" s="71" t="n">
        <f aca="false">W64*W23+W67*W26+W70*W29+W73*W32+W76*W35</f>
        <v>15346.46144202</v>
      </c>
      <c r="X79" s="71" t="n">
        <f aca="false">X64*X23+X67*X26+X70*X29+X73*X32+X76*X35</f>
        <v>15346.4451414863</v>
      </c>
      <c r="Y79" s="71" t="n">
        <f aca="false">Y64*Y23+Y67*Y26+Y70*Y29+Y73*Y32+Y76*Y35</f>
        <v>16505.0622688637</v>
      </c>
      <c r="Z79" s="71" t="n">
        <f aca="false">Z64*Z23+Z67*Z26+Z70*Z29+Z73*Z32+Z76*Z35</f>
        <v>16490.5771605726</v>
      </c>
      <c r="AA79" s="71" t="n">
        <f aca="false">AA64*AA23+AA67*AA26+AA70*AA29+AA73*AA32+AA76*AA35</f>
        <v>16476.2757141336</v>
      </c>
      <c r="AB79" s="71" t="n">
        <f aca="false">AB64*AB23+AB67*AB26+AB70*AB29+AB73*AB32+AB76*AB35</f>
        <v>16462.1528319649</v>
      </c>
    </row>
    <row r="80" customFormat="false" ht="15" hidden="false" customHeight="false" outlineLevel="0" collapsed="false">
      <c r="A80" s="29" t="s">
        <v>1142</v>
      </c>
      <c r="B80" s="60" t="s">
        <v>1143</v>
      </c>
      <c r="C80" s="61" t="n">
        <f aca="false">SUM(E80:P80)</f>
        <v>284152.966689954</v>
      </c>
      <c r="D80" s="61" t="n">
        <f aca="false">SUM(Q80:AB80)</f>
        <v>321444.347588404</v>
      </c>
      <c r="E80" s="62" t="n">
        <f aca="false">E64*E21*Assumptions!$C$70+E67*E24*Assumptions!$C$71+E70*E27*Assumptions!$C$72+E73*E30*Assumptions!$C$73+E76*E33*Assumptions!$C$74</f>
        <v>20411.6666666667</v>
      </c>
      <c r="F80" s="62" t="n">
        <f aca="false">F64*F21*Assumptions!$C$70+F67*F24*Assumptions!$C$71+F70*F27*Assumptions!$C$72+F73*F30*Assumptions!$C$73+F76*F33*Assumptions!$C$74</f>
        <v>23118.3333333333</v>
      </c>
      <c r="G80" s="62" t="n">
        <f aca="false">G64*G21*Assumptions!$C$70+G67*G24*Assumptions!$C$71+G70*G27*Assumptions!$C$72+G73*G30*Assumptions!$C$73+G76*G33*Assumptions!$C$74</f>
        <v>24212.0833333333</v>
      </c>
      <c r="H80" s="62" t="n">
        <f aca="false">H64*H21*Assumptions!$C$70+H67*H24*Assumptions!$C$71+H70*H27*Assumptions!$C$72+H73*H30*Assumptions!$C$73+H76*H33*Assumptions!$C$74</f>
        <v>24212.0833333333</v>
      </c>
      <c r="I80" s="62" t="n">
        <f aca="false">I64*I21*Assumptions!$C$70+I67*I24*Assumptions!$C$71+I70*I27*Assumptions!$C$72+I73*I30*Assumptions!$C$73+I76*I33*Assumptions!$C$74</f>
        <v>24212.0833333333</v>
      </c>
      <c r="J80" s="62" t="n">
        <f aca="false">J64*J21*Assumptions!$C$70+J67*J24*Assumptions!$C$71+J70*J27*Assumptions!$C$72+J73*J30*Assumptions!$C$73+J76*J33*Assumptions!$C$74</f>
        <v>24212.0833333333</v>
      </c>
      <c r="K80" s="62" t="n">
        <f aca="false">K64*K21*Assumptions!$C$70+K67*K24*Assumptions!$C$71+K70*K27*Assumptions!$C$72+K73*K30*Assumptions!$C$73+K76*K33*Assumptions!$C$74</f>
        <v>24212.0833333333</v>
      </c>
      <c r="L80" s="62" t="n">
        <f aca="false">L64*L21*Assumptions!$C$70+L67*L24*Assumptions!$C$71+L70*L27*Assumptions!$C$72+L73*L30*Assumptions!$C$73+L76*L33*Assumptions!$C$74</f>
        <v>24212.0833333333</v>
      </c>
      <c r="M80" s="62" t="n">
        <f aca="false">M64*M21*Assumptions!$C$70+M67*M24*Assumptions!$C$71+M70*M27*Assumptions!$C$72+M73*M30*Assumptions!$C$73+M76*M33*Assumptions!$C$74</f>
        <v>24043.6961805556</v>
      </c>
      <c r="N80" s="62" t="n">
        <f aca="false">N64*N21*Assumptions!$C$70+N67*N24*Assumptions!$C$71+N70*N27*Assumptions!$C$72+N73*N30*Assumptions!$C$73+N76*N33*Assumptions!$C$74</f>
        <v>23877.0807653356</v>
      </c>
      <c r="O80" s="62" t="n">
        <f aca="false">O64*O21*Assumptions!$C$70+O67*O24*Assumptions!$C$71+O70*O27*Assumptions!$C$72+O73*O30*Assumptions!$C$73+O76*O33*Assumptions!$C$74</f>
        <v>23712.2171120575</v>
      </c>
      <c r="P80" s="62" t="n">
        <f aca="false">P64*P21*Assumptions!$C$70+P67*P24*Assumptions!$C$71+P70*P27*Assumptions!$C$72+P73*P30*Assumptions!$C$73+P76*P33*Assumptions!$C$74</f>
        <v>23717.4726320054</v>
      </c>
      <c r="Q80" s="62" t="n">
        <f aca="false">Q64*Q21*Assumptions!$C$70+Q67*Q24*Assumptions!$C$71+Q70*Q27*Assumptions!$C$72+Q73*Q30*Assumptions!$C$73+Q76*Q33*Assumptions!$C$74</f>
        <v>26468.0664079248</v>
      </c>
      <c r="R80" s="62" t="n">
        <f aca="false">R64*R21*Assumptions!$C$70+R67*R24*Assumptions!$C$71+R70*R27*Assumptions!$C$72+R73*R30*Assumptions!$C$73+R76*R33*Assumptions!$C$74</f>
        <v>26447.2868461444</v>
      </c>
      <c r="S80" s="62" t="n">
        <f aca="false">S64*S21*Assumptions!$C$70+S67*S24*Assumptions!$C$71+S70*S27*Assumptions!$C$72+S73*S30*Assumptions!$C$73+S76*S33*Assumptions!$C$74</f>
        <v>26424.9678734337</v>
      </c>
      <c r="T80" s="62" t="n">
        <f aca="false">T64*T21*Assumptions!$C$70+T67*T24*Assumptions!$C$71+T70*T27*Assumptions!$C$72+T73*T30*Assumptions!$C$73+T76*T33*Assumptions!$C$74</f>
        <v>26402.9893890574</v>
      </c>
      <c r="U80" s="62" t="n">
        <f aca="false">U64*U21*Assumptions!$C$70+U67*U24*Assumptions!$C$71+U70*U27*Assumptions!$C$72+U73*U30*Assumptions!$C$73+U76*U33*Assumptions!$C$74</f>
        <v>26403.8048561429</v>
      </c>
      <c r="V80" s="62" t="n">
        <f aca="false">V64*V21*Assumptions!$C$70+V67*V24*Assumptions!$C$71+V70*V27*Assumptions!$C$72+V73*V30*Assumptions!$C$73+V76*V33*Assumptions!$C$74</f>
        <v>26404.3482252993</v>
      </c>
      <c r="W80" s="62" t="n">
        <f aca="false">W64*W21*Assumptions!$C$70+W67*W24*Assumptions!$C$71+W70*W27*Assumptions!$C$72+W73*W30*Assumptions!$C$73+W76*W33*Assumptions!$C$74</f>
        <v>26404.6059115771</v>
      </c>
      <c r="X80" s="62" t="n">
        <f aca="false">X64*X21*Assumptions!$C$70+X67*X24*Assumptions!$C$71+X70*X27*Assumptions!$C$72+X73*X30*Assumptions!$C$73+X76*X33*Assumptions!$C$74</f>
        <v>26404.585692434</v>
      </c>
      <c r="Y80" s="62" t="n">
        <f aca="false">Y64*Y21*Assumptions!$C$70+Y67*Y24*Assumptions!$C$71+Y70*Y27*Assumptions!$C$72+Y73*Y30*Assumptions!$C$73+Y76*Y33*Assumptions!$C$74</f>
        <v>27542.0759337194</v>
      </c>
      <c r="Z80" s="62" t="n">
        <f aca="false">Z64*Z21*Assumptions!$C$70+Z67*Z24*Assumptions!$C$71+Z70*Z27*Assumptions!$C$72+Z73*Z30*Assumptions!$C$73+Z76*Z33*Assumptions!$C$74</f>
        <v>27527.8543378985</v>
      </c>
      <c r="AA80" s="62" t="n">
        <f aca="false">AA64*AA21*Assumptions!$C$70+AA67*AA24*Assumptions!$C$71+AA70*AA27*Assumptions!$C$72+AA73*AA30*Assumptions!$C$73+AA76*AA33*Assumptions!$C$74</f>
        <v>27513.813732647</v>
      </c>
      <c r="AB80" s="62" t="n">
        <f aca="false">AB64*AB21*Assumptions!$C$70+AB67*AB24*Assumptions!$C$71+AB70*AB27*Assumptions!$C$72+AB73*AB30*Assumptions!$C$73+AB76*AB33*Assumptions!$C$74</f>
        <v>27499.9483821256</v>
      </c>
    </row>
    <row r="81" customFormat="false" ht="15" hidden="false" customHeight="false" outlineLevel="0" collapsed="false">
      <c r="A81" s="29" t="s">
        <v>1144</v>
      </c>
      <c r="B81" s="60" t="s">
        <v>1145</v>
      </c>
      <c r="C81" s="61" t="n">
        <f aca="false">SUM(E81:P81)</f>
        <v>97406.7763802586</v>
      </c>
      <c r="D81" s="61" t="n">
        <f aca="false">SUM(Q81:AB81)</f>
        <v>121727.852197439</v>
      </c>
      <c r="E81" s="62" t="n">
        <f aca="false">(E64*E21*Assumptions!$E$64+E67*E24*Assumptions!$E$65+E70*E27*Assumptions!$E$66+E73*E30*Assumptions!$E$67+E76*E33*Assumptions!$E$68)*E20</f>
        <v>6703.08333333333</v>
      </c>
      <c r="F81" s="62" t="n">
        <f aca="false">(F64*F21*Assumptions!$E$64+F67*F24*Assumptions!$E$65+F70*F27*Assumptions!$E$66+F73*F30*Assumptions!$E$67+F76*F33*Assumptions!$E$68)*F20</f>
        <v>7487.08333333333</v>
      </c>
      <c r="G81" s="62" t="n">
        <f aca="false">(G64*G21*Assumptions!$E$64+G67*G24*Assumptions!$E$65+G70*G27*Assumptions!$E$66+G73*G30*Assumptions!$E$67+G76*G33*Assumptions!$E$68)*G20</f>
        <v>7705.83333333333</v>
      </c>
      <c r="H81" s="62" t="n">
        <f aca="false">(H64*H21*Assumptions!$E$64+H67*H24*Assumptions!$E$65+H70*H27*Assumptions!$E$66+H73*H30*Assumptions!$E$67+H76*H33*Assumptions!$E$68)*H20</f>
        <v>7705.83333333333</v>
      </c>
      <c r="I81" s="62" t="n">
        <f aca="false">(I64*I21*Assumptions!$E$64+I67*I24*Assumptions!$E$65+I70*I27*Assumptions!$E$66+I73*I30*Assumptions!$E$67+I76*I33*Assumptions!$E$68)*I20</f>
        <v>7705.83333333333</v>
      </c>
      <c r="J81" s="62" t="n">
        <f aca="false">(J64*J21*Assumptions!$E$64+J67*J24*Assumptions!$E$65+J70*J27*Assumptions!$E$66+J73*J30*Assumptions!$E$67+J76*J33*Assumptions!$E$68)*J20</f>
        <v>7705.83333333333</v>
      </c>
      <c r="K81" s="62" t="n">
        <f aca="false">(K64*K21*Assumptions!$E$64+K67*K24*Assumptions!$E$65+K70*K27*Assumptions!$E$66+K73*K30*Assumptions!$E$67+K76*K33*Assumptions!$E$68)*K20</f>
        <v>7705.83333333333</v>
      </c>
      <c r="L81" s="62" t="n">
        <f aca="false">(L64*L21*Assumptions!$E$64+L67*L24*Assumptions!$E$65+L70*L27*Assumptions!$E$66+L73*L30*Assumptions!$E$67+L76*L33*Assumptions!$E$68)*L20</f>
        <v>7705.83333333333</v>
      </c>
      <c r="M81" s="62" t="n">
        <f aca="false">(M64*M21*Assumptions!$E$64+M67*M24*Assumptions!$E$65+M70*M27*Assumptions!$E$66+M73*M30*Assumptions!$E$67+M76*M33*Assumptions!$E$68)*M20</f>
        <v>9306.8890625</v>
      </c>
      <c r="N81" s="62" t="n">
        <f aca="false">(N64*N21*Assumptions!$E$64+N67*N24*Assumptions!$E$65+N70*N27*Assumptions!$E$66+N73*N30*Assumptions!$E$67+N76*N33*Assumptions!$E$68)*N20</f>
        <v>9257.20003255208</v>
      </c>
      <c r="O81" s="62" t="n">
        <f aca="false">(O64*O21*Assumptions!$E$64+O67*O24*Assumptions!$E$65+O70*O27*Assumptions!$E$66+O73*O30*Assumptions!$E$67+O76*O33*Assumptions!$E$68)*O20</f>
        <v>9208.01071255606</v>
      </c>
      <c r="P81" s="62" t="n">
        <f aca="false">(P64*P21*Assumptions!$E$64+P67*P24*Assumptions!$E$65+P70*P27*Assumptions!$E$66+P73*P30*Assumptions!$E$67+P76*P33*Assumptions!$E$68)*P20</f>
        <v>9209.50990598382</v>
      </c>
      <c r="Q81" s="62" t="n">
        <f aca="false">(Q64*Q21*Assumptions!$E$64+Q67*Q24*Assumptions!$E$65+Q70*Q27*Assumptions!$E$66+Q73*Q30*Assumptions!$E$67+Q76*Q33*Assumptions!$E$68)*Q20</f>
        <v>10068.0536205837</v>
      </c>
      <c r="R81" s="62" t="n">
        <f aca="false">(R64*R21*Assumptions!$E$64+R67*R24*Assumptions!$E$65+R70*R27*Assumptions!$E$66+R73*R30*Assumptions!$E$67+R76*R33*Assumptions!$E$68)*R20</f>
        <v>10062.425129822</v>
      </c>
      <c r="S81" s="62" t="n">
        <f aca="false">(S64*S21*Assumptions!$E$64+S67*S24*Assumptions!$E$65+S70*S27*Assumptions!$E$66+S73*S30*Assumptions!$E$67+S76*S33*Assumptions!$E$68)*S20</f>
        <v>10056.3537587895</v>
      </c>
      <c r="T81" s="62" t="n">
        <f aca="false">(T64*T21*Assumptions!$E$64+T67*T24*Assumptions!$E$65+T70*T27*Assumptions!$E$66+T73*T30*Assumptions!$E$67+T76*T33*Assumptions!$E$68)*T20</f>
        <v>10050.3753048208</v>
      </c>
      <c r="U81" s="62" t="n">
        <f aca="false">(U64*U21*Assumptions!$E$64+U67*U24*Assumptions!$E$65+U70*U27*Assumptions!$E$66+U73*U30*Assumptions!$E$67+U76*U33*Assumptions!$E$68)*U20</f>
        <v>10050.5970090966</v>
      </c>
      <c r="V81" s="62" t="n">
        <f aca="false">(V64*V21*Assumptions!$E$64+V67*V24*Assumptions!$E$65+V70*V27*Assumptions!$E$66+V73*V30*Assumptions!$E$67+V76*V33*Assumptions!$E$68)*V20</f>
        <v>10050.744804947</v>
      </c>
      <c r="W81" s="62" t="n">
        <f aca="false">(W64*W21*Assumptions!$E$64+W67*W24*Assumptions!$E$65+W70*W27*Assumptions!$E$66+W73*W30*Assumptions!$E$67+W76*W33*Assumptions!$E$68)*W20</f>
        <v>10050.8148956581</v>
      </c>
      <c r="X81" s="62" t="n">
        <f aca="false">(X64*X21*Assumptions!$E$64+X67*X24*Assumptions!$E$65+X70*X27*Assumptions!$E$66+X73*X30*Assumptions!$E$67+X76*X33*Assumptions!$E$68)*X20</f>
        <v>10050.8093962572</v>
      </c>
      <c r="Y81" s="62" t="n">
        <f aca="false">(Y64*Y21*Assumptions!$E$64+Y67*Y24*Assumptions!$E$65+Y70*Y27*Assumptions!$E$66+Y73*Y30*Assumptions!$E$67+Y76*Y33*Assumptions!$E$68)*Y20</f>
        <v>10327.0567420348</v>
      </c>
      <c r="Z81" s="62" t="n">
        <f aca="false">(Z64*Z21*Assumptions!$E$64+Z67*Z24*Assumptions!$E$65+Z70*Z27*Assumptions!$E$66+Z73*Z30*Assumptions!$E$67+Z76*Z33*Assumptions!$E$68)*Z20</f>
        <v>10323.6028430109</v>
      </c>
      <c r="AA81" s="62" t="n">
        <f aca="false">(AA64*AA21*Assumptions!$E$64+AA67*AA24*Assumptions!$E$65+AA70*AA27*Assumptions!$E$66+AA73*AA30*Assumptions!$E$67+AA76*AA33*Assumptions!$E$68)*AA20</f>
        <v>10320.1929936966</v>
      </c>
      <c r="AB81" s="62" t="n">
        <f aca="false">(AB64*AB21*Assumptions!$E$64+AB67*AB24*Assumptions!$E$65+AB70*AB27*Assumptions!$E$66+AB73*AB30*Assumptions!$E$67+AB76*AB33*Assumptions!$E$68)*AB20</f>
        <v>10316.825698722</v>
      </c>
    </row>
    <row r="82" customFormat="false" ht="15" hidden="false" customHeight="false" outlineLevel="0" collapsed="false">
      <c r="A82" s="29" t="s">
        <v>1146</v>
      </c>
      <c r="B82" s="60" t="s">
        <v>1147</v>
      </c>
      <c r="C82" s="61" t="n">
        <f aca="false">SUM(E82:P82)</f>
        <v>3369.70886235132</v>
      </c>
      <c r="D82" s="61" t="n">
        <f aca="false">SUM(Q82:AB82)</f>
        <v>4849.11149138608</v>
      </c>
      <c r="E82" s="62" t="n">
        <f aca="false">(E64*E21*Assumptions!$E$64*Assumptions!$C$78+E67*E24*Assumptions!$E$65*Assumptions!$C$79+E70*E27*Assumptions!$E$66*Assumptions!$C$80+E73*E30*Assumptions!$E$67*Assumptions!$C$81+E76*E33*Assumptions!$E$68*Assumptions!$C$82)*E20</f>
        <v>224.8204</v>
      </c>
      <c r="F82" s="62" t="n">
        <f aca="false">(F64*F21*Assumptions!$E$64*Assumptions!$C$78+F67*F24*Assumptions!$E$65*Assumptions!$C$79+F70*F27*Assumptions!$E$66*Assumptions!$C$80+F73*F30*Assumptions!$E$67*Assumptions!$C$81+F76*F33*Assumptions!$E$68*Assumptions!$C$82)*F20</f>
        <v>224.8204</v>
      </c>
      <c r="G82" s="62" t="n">
        <f aca="false">(G64*G21*Assumptions!$E$64*Assumptions!$C$78+G67*G24*Assumptions!$E$65*Assumptions!$C$79+G70*G27*Assumptions!$E$66*Assumptions!$C$80+G73*G30*Assumptions!$E$67*Assumptions!$C$81+G76*G33*Assumptions!$E$68*Assumptions!$C$82)*G20</f>
        <v>272.3329</v>
      </c>
      <c r="H82" s="62" t="n">
        <f aca="false">(H64*H21*Assumptions!$E$64*Assumptions!$C$78+H67*H24*Assumptions!$E$65*Assumptions!$C$79+H70*H27*Assumptions!$E$66*Assumptions!$C$80+H73*H30*Assumptions!$E$67*Assumptions!$C$81+H76*H33*Assumptions!$E$68*Assumptions!$C$82)*H20</f>
        <v>272.3329</v>
      </c>
      <c r="I82" s="62" t="n">
        <f aca="false">(I64*I21*Assumptions!$E$64*Assumptions!$C$78+I67*I24*Assumptions!$E$65*Assumptions!$C$79+I70*I27*Assumptions!$E$66*Assumptions!$C$80+I73*I30*Assumptions!$E$67*Assumptions!$C$81+I76*I33*Assumptions!$E$68*Assumptions!$C$82)*I20</f>
        <v>272.3329</v>
      </c>
      <c r="J82" s="62" t="n">
        <f aca="false">(J64*J21*Assumptions!$E$64*Assumptions!$C$78+J67*J24*Assumptions!$E$65*Assumptions!$C$79+J70*J27*Assumptions!$E$66*Assumptions!$C$80+J73*J30*Assumptions!$E$67*Assumptions!$C$81+J76*J33*Assumptions!$E$68*Assumptions!$C$82)*J20</f>
        <v>272.3329</v>
      </c>
      <c r="K82" s="62" t="n">
        <f aca="false">(K64*K21*Assumptions!$E$64*Assumptions!$C$78+K67*K24*Assumptions!$E$65*Assumptions!$C$79+K70*K27*Assumptions!$E$66*Assumptions!$C$80+K73*K30*Assumptions!$E$67*Assumptions!$C$81+K76*K33*Assumptions!$E$68*Assumptions!$C$82)*K20</f>
        <v>272.3329</v>
      </c>
      <c r="L82" s="62" t="n">
        <f aca="false">(L64*L21*Assumptions!$E$64*Assumptions!$C$78+L67*L24*Assumptions!$E$65*Assumptions!$C$79+L70*L27*Assumptions!$E$66*Assumptions!$C$80+L73*L30*Assumptions!$E$67*Assumptions!$C$81+L76*L33*Assumptions!$E$68*Assumptions!$C$82)*L20</f>
        <v>272.3329</v>
      </c>
      <c r="M82" s="62" t="n">
        <f aca="false">(M64*M21*Assumptions!$E$64*Assumptions!$C$78+M67*M24*Assumptions!$E$65*Assumptions!$C$79+M70*M27*Assumptions!$E$66*Assumptions!$C$80+M73*M30*Assumptions!$E$67*Assumptions!$C$81+M76*M33*Assumptions!$E$68*Assumptions!$C$82)*M20</f>
        <v>326.556325625</v>
      </c>
      <c r="N82" s="62" t="n">
        <f aca="false">(N64*N21*Assumptions!$E$64*Assumptions!$C$78+N67*N24*Assumptions!$E$65*Assumptions!$C$79+N70*N27*Assumptions!$E$66*Assumptions!$C$80+N73*N30*Assumptions!$E$67*Assumptions!$C$81+N76*N33*Assumptions!$E$68*Assumptions!$C$82)*N20</f>
        <v>322.474371554688</v>
      </c>
      <c r="O82" s="62" t="n">
        <f aca="false">(O64*O21*Assumptions!$E$64*Assumptions!$C$78+O67*O24*Assumptions!$E$65*Assumptions!$C$79+O70*O27*Assumptions!$E$66*Assumptions!$C$80+O73*O30*Assumptions!$E$67*Assumptions!$C$81+O76*O33*Assumptions!$E$68*Assumptions!$C$82)*O20</f>
        <v>318.443441910254</v>
      </c>
      <c r="P82" s="62" t="n">
        <f aca="false">(P64*P21*Assumptions!$E$64*Assumptions!$C$78+P67*P24*Assumptions!$E$65*Assumptions!$C$79+P70*P27*Assumptions!$E$66*Assumptions!$C$80+P73*P30*Assumptions!$E$67*Assumptions!$C$81+P76*P33*Assumptions!$E$68*Assumptions!$C$82)*P20</f>
        <v>318.596523261376</v>
      </c>
      <c r="Q82" s="62" t="n">
        <f aca="false">(Q64*Q21*Assumptions!$E$64*Assumptions!$C$78+Q67*Q24*Assumptions!$E$65*Assumptions!$C$79+Q70*Q27*Assumptions!$E$66*Assumptions!$C$80+Q73*Q30*Assumptions!$E$67*Assumptions!$C$81+Q76*Q33*Assumptions!$E$68*Assumptions!$C$82)*Q20</f>
        <v>386.081544289225</v>
      </c>
      <c r="R82" s="62" t="n">
        <f aca="false">(R64*R21*Assumptions!$E$64*Assumptions!$C$78+R67*R24*Assumptions!$E$65*Assumptions!$C$79+R70*R27*Assumptions!$E$66*Assumptions!$C$80+R73*R30*Assumptions!$E$67*Assumptions!$C$81+R76*R33*Assumptions!$E$68*Assumptions!$C$82)*R20</f>
        <v>385.44769181582</v>
      </c>
      <c r="S82" s="62" t="n">
        <f aca="false">(S64*S21*Assumptions!$E$64*Assumptions!$C$78+S67*S24*Assumptions!$E$65*Assumptions!$C$79+S70*S27*Assumptions!$E$66*Assumptions!$C$80+S73*S30*Assumptions!$E$67*Assumptions!$C$81+S76*S33*Assumptions!$E$68*Assumptions!$C$82)*S20</f>
        <v>384.769360412956</v>
      </c>
      <c r="T82" s="62" t="n">
        <f aca="false">(T64*T21*Assumptions!$E$64*Assumptions!$C$78+T67*T24*Assumptions!$E$65*Assumptions!$C$79+T70*T27*Assumptions!$E$66*Assumptions!$C$80+T73*T30*Assumptions!$E$67*Assumptions!$C$81+T76*T33*Assumptions!$E$68*Assumptions!$C$82)*T20</f>
        <v>384.101498210192</v>
      </c>
      <c r="U82" s="62" t="n">
        <f aca="false">(U64*U21*Assumptions!$E$64*Assumptions!$C$78+U67*U24*Assumptions!$E$65*Assumptions!$C$79+U70*U27*Assumptions!$E$66*Assumptions!$C$80+U73*U30*Assumptions!$E$67*Assumptions!$C$81+U76*U33*Assumptions!$E$68*Assumptions!$C$82)*U20</f>
        <v>384.12624878618</v>
      </c>
      <c r="V82" s="62" t="n">
        <f aca="false">(V64*V21*Assumptions!$E$64*Assumptions!$C$78+V67*V24*Assumptions!$E$65*Assumptions!$C$79+V70*V27*Assumptions!$E$66*Assumptions!$C$80+V73*V30*Assumptions!$E$67*Assumptions!$C$81+V76*V33*Assumptions!$E$68*Assumptions!$C$82)*V20</f>
        <v>384.14276682405</v>
      </c>
      <c r="W82" s="62" t="n">
        <f aca="false">(W64*W21*Assumptions!$E$64*Assumptions!$C$78+W67*W24*Assumptions!$E$65*Assumptions!$C$79+W70*W27*Assumptions!$E$66*Assumptions!$C$80+W73*W30*Assumptions!$E$67*Assumptions!$C$81+W76*W33*Assumptions!$E$68*Assumptions!$C$82)*W20</f>
        <v>384.150599243911</v>
      </c>
      <c r="X82" s="62" t="n">
        <f aca="false">(X64*X21*Assumptions!$E$64*Assumptions!$C$78+X67*X24*Assumptions!$E$65*Assumptions!$C$79+X70*X27*Assumptions!$E$66*Assumptions!$C$80+X73*X30*Assumptions!$E$67*Assumptions!$C$81+X76*X33*Assumptions!$E$68*Assumptions!$C$82)*X20</f>
        <v>384.14998548099</v>
      </c>
      <c r="Y82" s="62" t="n">
        <f aca="false">(Y64*Y21*Assumptions!$E$64*Assumptions!$C$78+Y67*Y24*Assumptions!$E$65*Assumptions!$C$79+Y70*Y27*Assumptions!$E$66*Assumptions!$C$80+Y73*Y30*Assumptions!$E$67*Assumptions!$C$81+Y76*Y33*Assumptions!$E$68*Assumptions!$C$82)*Y20</f>
        <v>444.151188772305</v>
      </c>
      <c r="Z82" s="62" t="n">
        <f aca="false">(Z64*Z21*Assumptions!$E$64*Assumptions!$C$78+Z67*Z24*Assumptions!$E$65*Assumptions!$C$79+Z70*Z27*Assumptions!$E$66*Assumptions!$C$80+Z73*Z30*Assumptions!$E$67*Assumptions!$C$81+Z76*Z33*Assumptions!$E$68*Assumptions!$C$82)*Z20</f>
        <v>443.401083497952</v>
      </c>
      <c r="AA82" s="62" t="n">
        <f aca="false">(AA64*AA21*Assumptions!$E$64*Assumptions!$C$78+AA67*AA24*Assumptions!$E$65*Assumptions!$C$79+AA70*AA27*Assumptions!$E$66*Assumptions!$C$80+AA73*AA30*Assumptions!$E$67*Assumptions!$C$81+AA76*AA33*Assumptions!$E$68*Assumptions!$C$82)*AA20</f>
        <v>442.660452444776</v>
      </c>
      <c r="AB82" s="62" t="n">
        <f aca="false">(AB64*AB21*Assumptions!$E$64*Assumptions!$C$78+AB67*AB24*Assumptions!$E$65*Assumptions!$C$79+AB70*AB27*Assumptions!$E$66*Assumptions!$C$80+AB73*AB30*Assumptions!$E$67*Assumptions!$C$81+AB76*AB33*Assumptions!$E$68*Assumptions!$C$82)*AB20</f>
        <v>441.929071607729</v>
      </c>
    </row>
    <row r="83" customFormat="false" ht="15" hidden="false" customHeight="false" outlineLevel="0" collapsed="false">
      <c r="A83" s="68" t="s">
        <v>1148</v>
      </c>
      <c r="B83" s="69" t="s">
        <v>1149</v>
      </c>
      <c r="C83" s="70" t="n">
        <f aca="false">SUM(E83:P83)</f>
        <v>1152525.52675881</v>
      </c>
      <c r="D83" s="70" t="n">
        <f aca="false">SUM(Q83:AB83)</f>
        <v>1331466.38358547</v>
      </c>
      <c r="E83" s="70" t="n">
        <f aca="false">E77+E78</f>
        <v>81115</v>
      </c>
      <c r="F83" s="70" t="n">
        <f aca="false">F77+F78</f>
        <v>91821.6</v>
      </c>
      <c r="G83" s="70" t="n">
        <f aca="false">G77+G78</f>
        <v>98735.33</v>
      </c>
      <c r="H83" s="70" t="n">
        <f aca="false">H77+H78</f>
        <v>98962.23</v>
      </c>
      <c r="I83" s="70" t="n">
        <f aca="false">I77+I78</f>
        <v>98462.73</v>
      </c>
      <c r="J83" s="70" t="n">
        <f aca="false">J77+J78</f>
        <v>98426.76</v>
      </c>
      <c r="K83" s="70" t="n">
        <f aca="false">K77+K78</f>
        <v>98695.97</v>
      </c>
      <c r="L83" s="70" t="n">
        <f aca="false">L77+L78</f>
        <v>99044.09</v>
      </c>
      <c r="M83" s="70" t="n">
        <f aca="false">M77+M78</f>
        <v>97781.3330729167</v>
      </c>
      <c r="N83" s="70" t="n">
        <f aca="false">N77+N78</f>
        <v>97000.1061930266</v>
      </c>
      <c r="O83" s="70" t="n">
        <f aca="false">O77+O78</f>
        <v>96227.4028501073</v>
      </c>
      <c r="P83" s="70" t="n">
        <f aca="false">P77+P78</f>
        <v>96252.9746427617</v>
      </c>
      <c r="Q83" s="70" t="n">
        <f aca="false">Q77+Q78</f>
        <v>109054.866368155</v>
      </c>
      <c r="R83" s="70" t="n">
        <f aca="false">R77+R78</f>
        <v>108954.776332858</v>
      </c>
      <c r="S83" s="70" t="n">
        <f aca="false">S77+S78</f>
        <v>108847.161069053</v>
      </c>
      <c r="T83" s="70" t="n">
        <f aca="false">T77+T78</f>
        <v>108741.19791815</v>
      </c>
      <c r="U83" s="70" t="n">
        <f aca="false">U77+U78</f>
        <v>108745.12650035</v>
      </c>
      <c r="V83" s="70" t="n">
        <f aca="false">V77+V78</f>
        <v>108747.746510463</v>
      </c>
      <c r="W83" s="70" t="n">
        <f aca="false">W77+W78</f>
        <v>108748.988959131</v>
      </c>
      <c r="X83" s="70" t="n">
        <f aca="false">X77+X78</f>
        <v>108748.891521627</v>
      </c>
      <c r="Y83" s="70" t="n">
        <f aca="false">Y77+Y78</f>
        <v>115342.011132452</v>
      </c>
      <c r="Z83" s="70" t="n">
        <f aca="false">Z77+Z78</f>
        <v>115259.582826804</v>
      </c>
      <c r="AA83" s="70" t="n">
        <f aca="false">AA77+AA78</f>
        <v>115178.200403765</v>
      </c>
      <c r="AB83" s="70" t="n">
        <f aca="false">AB77+AB78</f>
        <v>115097.834042663</v>
      </c>
    </row>
    <row r="84" customFormat="false" ht="15" hidden="false" customHeight="false" outlineLevel="0" collapsed="false">
      <c r="A84" s="29" t="s">
        <v>1150</v>
      </c>
      <c r="B84" s="60"/>
      <c r="C84" s="66" t="n">
        <f aca="false">P84</f>
        <v>9.71901086244936</v>
      </c>
      <c r="D84" s="66" t="n">
        <f aca="false">AB84</f>
        <v>11.6488285713488</v>
      </c>
      <c r="E84" s="72" t="n">
        <f aca="false">E64+E67+E70+E73+E76</f>
        <v>8</v>
      </c>
      <c r="F84" s="72" t="n">
        <f aca="false">F64+F67+F70+F73+F76</f>
        <v>9</v>
      </c>
      <c r="G84" s="72" t="n">
        <f aca="false">G64+G67+G70+G73+G76</f>
        <v>10</v>
      </c>
      <c r="H84" s="72" t="n">
        <f aca="false">H64+H67+H70+H73+H76</f>
        <v>10</v>
      </c>
      <c r="I84" s="72" t="n">
        <f aca="false">I64+I67+I70+I73+I76</f>
        <v>10</v>
      </c>
      <c r="J84" s="72" t="n">
        <f aca="false">J64+J67+J70+J73+J76</f>
        <v>10</v>
      </c>
      <c r="K84" s="72" t="n">
        <f aca="false">K64+K67+K70+K73+K76</f>
        <v>10</v>
      </c>
      <c r="L84" s="72" t="n">
        <f aca="false">L64+L67+L70+L73+L76</f>
        <v>10</v>
      </c>
      <c r="M84" s="72" t="n">
        <f aca="false">M64+M67+M70+M73+M76</f>
        <v>9.90416666666667</v>
      </c>
      <c r="N84" s="72" t="n">
        <f aca="false">N64+N67+N70+N73+N76</f>
        <v>9.80942708333333</v>
      </c>
      <c r="O84" s="72" t="n">
        <f aca="false">O64+O67+O70+O73+O76</f>
        <v>9.71576830150463</v>
      </c>
      <c r="P84" s="72" t="n">
        <f aca="false">P64+P67+P70+P73+P76</f>
        <v>9.71901086244936</v>
      </c>
      <c r="Q84" s="72" t="n">
        <f aca="false">Q64+Q67+Q70+Q73+Q76</f>
        <v>10.7211212952878</v>
      </c>
      <c r="R84" s="72" t="n">
        <f aca="false">R64+R67+R70+R73+R76</f>
        <v>10.7096259605888</v>
      </c>
      <c r="S84" s="72" t="n">
        <f aca="false">S64+S67+S70+S73+S76</f>
        <v>10.6972069939609</v>
      </c>
      <c r="T84" s="72" t="n">
        <f aca="false">T64+T67+T70+T73+T76</f>
        <v>10.6849816106481</v>
      </c>
      <c r="U84" s="72" t="n">
        <f aca="false">U64+U67+U70+U73+U76</f>
        <v>10.6854339951844</v>
      </c>
      <c r="V84" s="72" t="n">
        <f aca="false">V64+V67+V70+V73+V76</f>
        <v>10.6857363426453</v>
      </c>
      <c r="W84" s="72" t="n">
        <f aca="false">W64+W67+W70+W73+W76</f>
        <v>10.6858797059638</v>
      </c>
      <c r="X84" s="72" t="n">
        <f aca="false">X64+X67+X70+X73+X76</f>
        <v>10.68586847558</v>
      </c>
      <c r="Y84" s="72" t="n">
        <f aca="false">Y64+Y67+Y70+Y73+Y76</f>
        <v>11.6858630451731</v>
      </c>
      <c r="Z84" s="72" t="n">
        <f aca="false">Z64+Z67+Z70+Z73+Z76</f>
        <v>11.673361461575</v>
      </c>
      <c r="AA84" s="72" t="n">
        <f aca="false">AA64+AA67+AA70+AA73+AA76</f>
        <v>11.6610179396563</v>
      </c>
      <c r="AB84" s="72" t="n">
        <f aca="false">AB64+AB67+AB70+AB73+AB76</f>
        <v>11.6488285713488</v>
      </c>
    </row>
    <row r="85" customFormat="false" ht="15" hidden="false" customHeight="false" outlineLevel="0" collapsed="false">
      <c r="A85" s="23" t="s">
        <v>1152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row>
    <row r="86" customFormat="false" ht="15" hidden="false" customHeight="false" outlineLevel="0" collapsed="false">
      <c r="A86" s="29" t="s">
        <v>1117</v>
      </c>
      <c r="B86" s="60" t="s">
        <v>1118</v>
      </c>
      <c r="C86" s="66" t="n">
        <f aca="false">SUM(E86:P86)</f>
        <v>0</v>
      </c>
      <c r="D86" s="66" t="n">
        <f aca="false">SUM(Q86:AB86)</f>
        <v>0</v>
      </c>
      <c r="E86" s="72" t="n">
        <f aca="false">0</f>
        <v>0</v>
      </c>
      <c r="F86" s="72" t="n">
        <f aca="false">0</f>
        <v>0</v>
      </c>
      <c r="G86" s="72" t="n">
        <f aca="false">0</f>
        <v>0</v>
      </c>
      <c r="H86" s="72" t="n">
        <f aca="false">0</f>
        <v>0</v>
      </c>
      <c r="I86" s="72" t="n">
        <f aca="false">0</f>
        <v>0</v>
      </c>
      <c r="J86" s="72" t="n">
        <f aca="false">0</f>
        <v>0</v>
      </c>
      <c r="K86" s="72" t="n">
        <f aca="false">0</f>
        <v>0</v>
      </c>
      <c r="L86" s="72" t="n">
        <f aca="false">0</f>
        <v>0</v>
      </c>
      <c r="M86" s="67" t="n">
        <f aca="false">L88*Assumptions!$C$96*Assumptions!$F$173/12</f>
        <v>0</v>
      </c>
      <c r="N86" s="67" t="n">
        <f aca="false">M88*Assumptions!$C$96*Assumptions!$F$173/12</f>
        <v>0</v>
      </c>
      <c r="O86" s="67" t="n">
        <f aca="false">N88*Assumptions!$C$96*Assumptions!$F$173/12</f>
        <v>0</v>
      </c>
      <c r="P86" s="67" t="n">
        <f aca="false">O88*Assumptions!$C$96*Assumptions!$F$173/12</f>
        <v>0</v>
      </c>
      <c r="Q86" s="67" t="n">
        <f aca="false">P88*Assumptions!$C$96*Assumptions!$F$173/12</f>
        <v>0</v>
      </c>
      <c r="R86" s="67" t="n">
        <f aca="false">Q88*Assumptions!$C$96*Assumptions!$F$173/12</f>
        <v>0</v>
      </c>
      <c r="S86" s="67" t="n">
        <f aca="false">R88*Assumptions!$C$96*Assumptions!$F$173/12</f>
        <v>0</v>
      </c>
      <c r="T86" s="67" t="n">
        <f aca="false">S88*Assumptions!$C$96*Assumptions!$F$173/12</f>
        <v>0</v>
      </c>
      <c r="U86" s="67" t="n">
        <f aca="false">T88*Assumptions!$C$96*Assumptions!$F$173/12</f>
        <v>0</v>
      </c>
      <c r="V86" s="67" t="n">
        <f aca="false">U88*Assumptions!$C$96*Assumptions!$F$173/12</f>
        <v>0</v>
      </c>
      <c r="W86" s="67" t="n">
        <f aca="false">V88*Assumptions!$C$96*Assumptions!$F$173/12</f>
        <v>0</v>
      </c>
      <c r="X86" s="67" t="n">
        <f aca="false">W88*Assumptions!$C$96*Assumptions!$F$173/12</f>
        <v>0</v>
      </c>
      <c r="Y86" s="67" t="n">
        <f aca="false">X88*Assumptions!$C$96*Assumptions!$F$173/12</f>
        <v>0</v>
      </c>
      <c r="Z86" s="67" t="n">
        <f aca="false">Y88*Assumptions!$C$96*Assumptions!$F$173/12</f>
        <v>0</v>
      </c>
      <c r="AA86" s="67" t="n">
        <f aca="false">Z88*Assumptions!$C$96*Assumptions!$F$173/12</f>
        <v>0</v>
      </c>
      <c r="AB86" s="67" t="n">
        <f aca="false">AA88*Assumptions!$C$96*Assumptions!$F$173/12</f>
        <v>0</v>
      </c>
    </row>
    <row r="87" customFormat="false" ht="15" hidden="false" customHeight="false" outlineLevel="0" collapsed="false">
      <c r="A87" s="29" t="s">
        <v>1119</v>
      </c>
      <c r="B87" s="60" t="s">
        <v>1120</v>
      </c>
      <c r="C87" s="66" t="n">
        <f aca="false">SUM(E87:P87)</f>
        <v>0</v>
      </c>
      <c r="D87" s="66" t="n">
        <f aca="false">SUM(Q87:AB87)</f>
        <v>0</v>
      </c>
      <c r="E87" s="72" t="n">
        <f aca="false">0</f>
        <v>0</v>
      </c>
      <c r="F87" s="72" t="n">
        <f aca="false">0</f>
        <v>0</v>
      </c>
      <c r="G87" s="72" t="n">
        <f aca="false">0</f>
        <v>0</v>
      </c>
      <c r="H87" s="72" t="n">
        <f aca="false">0</f>
        <v>0</v>
      </c>
      <c r="I87" s="72" t="n">
        <f aca="false">0</f>
        <v>0</v>
      </c>
      <c r="J87" s="72" t="n">
        <f aca="false">0</f>
        <v>0</v>
      </c>
      <c r="K87" s="72" t="n">
        <f aca="false">0</f>
        <v>0</v>
      </c>
      <c r="L87" s="72" t="n">
        <f aca="false">0</f>
        <v>0</v>
      </c>
      <c r="M87" s="72" t="n">
        <f aca="false">0</f>
        <v>0</v>
      </c>
      <c r="N87" s="72" t="n">
        <f aca="false">0</f>
        <v>0</v>
      </c>
      <c r="O87" s="72" t="n">
        <f aca="false">0</f>
        <v>0</v>
      </c>
      <c r="P87" s="67" t="n">
        <f aca="false">M86*Assumptions!$F$174</f>
        <v>0</v>
      </c>
      <c r="Q87" s="67" t="n">
        <f aca="false">N86*Assumptions!$F$174</f>
        <v>0</v>
      </c>
      <c r="R87" s="67" t="n">
        <f aca="false">O86*Assumptions!$F$174</f>
        <v>0</v>
      </c>
      <c r="S87" s="67" t="n">
        <f aca="false">P86*Assumptions!$F$174</f>
        <v>0</v>
      </c>
      <c r="T87" s="67" t="n">
        <f aca="false">Q86*Assumptions!$F$174</f>
        <v>0</v>
      </c>
      <c r="U87" s="67" t="n">
        <f aca="false">R86*Assumptions!$F$174</f>
        <v>0</v>
      </c>
      <c r="V87" s="67" t="n">
        <f aca="false">S86*Assumptions!$F$174</f>
        <v>0</v>
      </c>
      <c r="W87" s="67" t="n">
        <f aca="false">T86*Assumptions!$F$174</f>
        <v>0</v>
      </c>
      <c r="X87" s="67" t="n">
        <f aca="false">U86*Assumptions!$F$174</f>
        <v>0</v>
      </c>
      <c r="Y87" s="67" t="n">
        <f aca="false">V86*Assumptions!$F$174</f>
        <v>0</v>
      </c>
      <c r="Z87" s="67" t="n">
        <f aca="false">W86*Assumptions!$F$174</f>
        <v>0</v>
      </c>
      <c r="AA87" s="67" t="n">
        <f aca="false">X86*Assumptions!$F$174</f>
        <v>0</v>
      </c>
      <c r="AB87" s="67" t="n">
        <f aca="false">Y86*Assumptions!$F$174</f>
        <v>0</v>
      </c>
    </row>
    <row r="88" customFormat="false" ht="15" hidden="false" customHeight="false" outlineLevel="0" collapsed="false">
      <c r="A88" s="29" t="s">
        <v>1121</v>
      </c>
      <c r="B88" s="60" t="s">
        <v>1122</v>
      </c>
      <c r="C88" s="66" t="n">
        <f aca="false">P88</f>
        <v>1</v>
      </c>
      <c r="D88" s="66" t="n">
        <f aca="false">AB88</f>
        <v>1</v>
      </c>
      <c r="E88" s="67" t="n">
        <f aca="false">IF(E$5="A",Inputs_Actuals!E129,Inputs_Actuals!E129-E86+E87)</f>
        <v>1</v>
      </c>
      <c r="F88" s="67" t="n">
        <f aca="false">IF(F$5="A",Inputs_Actuals!F129,E88-F86+F87)</f>
        <v>1</v>
      </c>
      <c r="G88" s="67" t="n">
        <f aca="false">IF(G$5="A",Inputs_Actuals!G129,F88-G86+G87)</f>
        <v>1</v>
      </c>
      <c r="H88" s="67" t="n">
        <f aca="false">IF(H$5="A",Inputs_Actuals!H129,G88-H86+H87)</f>
        <v>1</v>
      </c>
      <c r="I88" s="67" t="n">
        <f aca="false">IF(I$5="A",Inputs_Actuals!I129,H88-I86+I87)</f>
        <v>1</v>
      </c>
      <c r="J88" s="67" t="n">
        <f aca="false">IF(J$5="A",Inputs_Actuals!J129,I88-J86+J87)</f>
        <v>1</v>
      </c>
      <c r="K88" s="67" t="n">
        <f aca="false">IF(K$5="A",Inputs_Actuals!K129,J88-K86+K87)</f>
        <v>1</v>
      </c>
      <c r="L88" s="67" t="n">
        <f aca="false">IF(L$5="A",Inputs_Actuals!L129,K88-L86+L87)</f>
        <v>1</v>
      </c>
      <c r="M88" s="67" t="n">
        <f aca="false">IF(M$5="A",Inputs_Actuals!M129,L88-M86+M87)</f>
        <v>1</v>
      </c>
      <c r="N88" s="67" t="n">
        <f aca="false">IF(N$5="A",Inputs_Actuals!N129,M88-N86+N87)</f>
        <v>1</v>
      </c>
      <c r="O88" s="67" t="n">
        <f aca="false">IF(O$5="A",Inputs_Actuals!O129,N88-O86+O87)</f>
        <v>1</v>
      </c>
      <c r="P88" s="67" t="n">
        <f aca="false">IF(P$5="A",Inputs_Actuals!P129,O88-P86+P87)</f>
        <v>1</v>
      </c>
      <c r="Q88" s="67" t="n">
        <f aca="false">IF(Q$5="A",Inputs_Actuals!Q129,P88-Q86+Q87)</f>
        <v>1</v>
      </c>
      <c r="R88" s="67" t="n">
        <f aca="false">IF(R$5="A",Inputs_Actuals!R129,Q88-R86+R87)</f>
        <v>1</v>
      </c>
      <c r="S88" s="67" t="n">
        <f aca="false">IF(S$5="A",Inputs_Actuals!S129,R88-S86+S87)</f>
        <v>1</v>
      </c>
      <c r="T88" s="67" t="n">
        <f aca="false">IF(T$5="A",Inputs_Actuals!T129,S88-T86+T87)</f>
        <v>1</v>
      </c>
      <c r="U88" s="67" t="n">
        <f aca="false">IF(U$5="A",Inputs_Actuals!U129,T88-U86+U87)</f>
        <v>1</v>
      </c>
      <c r="V88" s="67" t="n">
        <f aca="false">IF(V$5="A",Inputs_Actuals!V129,U88-V86+V87)</f>
        <v>1</v>
      </c>
      <c r="W88" s="67" t="n">
        <f aca="false">IF(W$5="A",Inputs_Actuals!W129,V88-W86+W87)</f>
        <v>1</v>
      </c>
      <c r="X88" s="67" t="n">
        <f aca="false">IF(X$5="A",Inputs_Actuals!X129,W88-X86+X87)</f>
        <v>1</v>
      </c>
      <c r="Y88" s="67" t="n">
        <f aca="false">IF(Y$5="A",Inputs_Actuals!Y129,X88-Y86+Y87)</f>
        <v>1</v>
      </c>
      <c r="Z88" s="67" t="n">
        <f aca="false">IF(Z$5="A",Inputs_Actuals!Z129,Y88-Z86+Z87)</f>
        <v>1</v>
      </c>
      <c r="AA88" s="67" t="n">
        <f aca="false">IF(AA$5="A",Inputs_Actuals!AA129,Z88-AA86+AA87)</f>
        <v>1</v>
      </c>
      <c r="AB88" s="67" t="n">
        <f aca="false">IF(AB$5="A",Inputs_Actuals!AB129,AA88-AB86+AB87)</f>
        <v>1</v>
      </c>
    </row>
    <row r="89" customFormat="false" ht="15" hidden="false" customHeight="false" outlineLevel="0" collapsed="false">
      <c r="A89" s="29" t="s">
        <v>1123</v>
      </c>
      <c r="B89" s="60" t="s">
        <v>1118</v>
      </c>
      <c r="C89" s="66" t="n">
        <f aca="false">SUM(E89:P89)</f>
        <v>0.0165627890504437</v>
      </c>
      <c r="D89" s="66" t="n">
        <f aca="false">SUM(Q89:AB89)</f>
        <v>0.049382442875584</v>
      </c>
      <c r="E89" s="72" t="n">
        <f aca="false">0</f>
        <v>0</v>
      </c>
      <c r="F89" s="72" t="n">
        <f aca="false">0</f>
        <v>0</v>
      </c>
      <c r="G89" s="72" t="n">
        <f aca="false">0</f>
        <v>0</v>
      </c>
      <c r="H89" s="72" t="n">
        <f aca="false">0</f>
        <v>0</v>
      </c>
      <c r="I89" s="72" t="n">
        <f aca="false">0</f>
        <v>0</v>
      </c>
      <c r="J89" s="72" t="n">
        <f aca="false">0</f>
        <v>0</v>
      </c>
      <c r="K89" s="72" t="n">
        <f aca="false">0</f>
        <v>0</v>
      </c>
      <c r="L89" s="72" t="n">
        <f aca="false">0</f>
        <v>0</v>
      </c>
      <c r="M89" s="67" t="n">
        <f aca="false">L91*Assumptions!$C$97*Assumptions!$F$173/12</f>
        <v>0.00416666666666667</v>
      </c>
      <c r="N89" s="67" t="n">
        <f aca="false">M91*Assumptions!$C$97*Assumptions!$F$173/12</f>
        <v>0.00414930555555556</v>
      </c>
      <c r="O89" s="67" t="n">
        <f aca="false">N91*Assumptions!$C$97*Assumptions!$F$173/12</f>
        <v>0.00413201678240741</v>
      </c>
      <c r="P89" s="67" t="n">
        <f aca="false">O91*Assumptions!$C$97*Assumptions!$F$173/12</f>
        <v>0.00411480004581404</v>
      </c>
      <c r="Q89" s="67" t="n">
        <f aca="false">P91*Assumptions!$C$97*Assumptions!$F$173/12</f>
        <v>0.00411501615673426</v>
      </c>
      <c r="R89" s="67" t="n">
        <f aca="false">Q91*Assumptions!$C$97*Assumptions!$F$173/12</f>
        <v>0.00411515902922935</v>
      </c>
      <c r="S89" s="67" t="n">
        <f aca="false">R91*Assumptions!$C$97*Assumptions!$F$173/12</f>
        <v>0.00411522926986759</v>
      </c>
      <c r="T89" s="67" t="n">
        <f aca="false">S91*Assumptions!$C$97*Assumptions!$F$173/12</f>
        <v>0.00411522748143404</v>
      </c>
      <c r="U89" s="67" t="n">
        <f aca="false">T91*Assumptions!$C$97*Assumptions!$F$173/12</f>
        <v>0.00411522660091445</v>
      </c>
      <c r="V89" s="67" t="n">
        <f aca="false">U91*Assumptions!$C$97*Assumptions!$F$173/12</f>
        <v>0.00411522631936577</v>
      </c>
      <c r="W89" s="67" t="n">
        <f aca="false">V91*Assumptions!$C$97*Assumptions!$F$173/12</f>
        <v>0.00411522633165952</v>
      </c>
      <c r="X89" s="67" t="n">
        <f aca="false">W91*Assumptions!$C$97*Assumptions!$F$173/12</f>
        <v>0.00411522633645025</v>
      </c>
      <c r="Y89" s="67" t="n">
        <f aca="false">X91*Assumptions!$C$97*Assumptions!$F$173/12</f>
        <v>0.00411522633755219</v>
      </c>
      <c r="Z89" s="67" t="n">
        <f aca="false">Y91*Assumptions!$C$97*Assumptions!$F$173/12</f>
        <v>0.00411522633747641</v>
      </c>
      <c r="AA89" s="67" t="n">
        <f aca="false">Z91*Assumptions!$C$97*Assumptions!$F$173/12</f>
        <v>0.00411522633745217</v>
      </c>
      <c r="AB89" s="67" t="n">
        <f aca="false">AA91*Assumptions!$C$97*Assumptions!$F$173/12</f>
        <v>0.004115226337448</v>
      </c>
    </row>
    <row r="90" customFormat="false" ht="15" hidden="false" customHeight="false" outlineLevel="0" collapsed="false">
      <c r="A90" s="29" t="s">
        <v>1124</v>
      </c>
      <c r="B90" s="60" t="s">
        <v>1120</v>
      </c>
      <c r="C90" s="66" t="n">
        <f aca="false">SUM(E90:P90)</f>
        <v>0.00416666666666667</v>
      </c>
      <c r="D90" s="66" t="n">
        <f aca="false">SUM(Q90:AB90)</f>
        <v>0.0494328862469844</v>
      </c>
      <c r="E90" s="72" t="n">
        <f aca="false">0</f>
        <v>0</v>
      </c>
      <c r="F90" s="72" t="n">
        <f aca="false">0</f>
        <v>0</v>
      </c>
      <c r="G90" s="72" t="n">
        <f aca="false">0</f>
        <v>0</v>
      </c>
      <c r="H90" s="72" t="n">
        <f aca="false">0</f>
        <v>0</v>
      </c>
      <c r="I90" s="72" t="n">
        <f aca="false">0</f>
        <v>0</v>
      </c>
      <c r="J90" s="72" t="n">
        <f aca="false">0</f>
        <v>0</v>
      </c>
      <c r="K90" s="72" t="n">
        <f aca="false">0</f>
        <v>0</v>
      </c>
      <c r="L90" s="72" t="n">
        <f aca="false">0</f>
        <v>0</v>
      </c>
      <c r="M90" s="72" t="n">
        <f aca="false">0</f>
        <v>0</v>
      </c>
      <c r="N90" s="72" t="n">
        <f aca="false">0</f>
        <v>0</v>
      </c>
      <c r="O90" s="72" t="n">
        <f aca="false">0</f>
        <v>0</v>
      </c>
      <c r="P90" s="67" t="n">
        <f aca="false">M89*Assumptions!$F$174</f>
        <v>0.00416666666666667</v>
      </c>
      <c r="Q90" s="67" t="n">
        <f aca="false">N89*Assumptions!$F$174</f>
        <v>0.00414930555555556</v>
      </c>
      <c r="R90" s="67" t="n">
        <f aca="false">O89*Assumptions!$F$174</f>
        <v>0.00413201678240741</v>
      </c>
      <c r="S90" s="67" t="n">
        <f aca="false">P89*Assumptions!$F$174</f>
        <v>0.00411480004581404</v>
      </c>
      <c r="T90" s="67" t="n">
        <f aca="false">Q89*Assumptions!$F$174</f>
        <v>0.00411501615673426</v>
      </c>
      <c r="U90" s="67" t="n">
        <f aca="false">R89*Assumptions!$F$174</f>
        <v>0.00411515902922935</v>
      </c>
      <c r="V90" s="67" t="n">
        <f aca="false">S89*Assumptions!$F$174</f>
        <v>0.00411522926986759</v>
      </c>
      <c r="W90" s="67" t="n">
        <f aca="false">T89*Assumptions!$F$174</f>
        <v>0.00411522748143404</v>
      </c>
      <c r="X90" s="67" t="n">
        <f aca="false">U89*Assumptions!$F$174</f>
        <v>0.00411522660091445</v>
      </c>
      <c r="Y90" s="67" t="n">
        <f aca="false">V89*Assumptions!$F$174</f>
        <v>0.00411522631936577</v>
      </c>
      <c r="Z90" s="67" t="n">
        <f aca="false">W89*Assumptions!$F$174</f>
        <v>0.00411522633165952</v>
      </c>
      <c r="AA90" s="67" t="n">
        <f aca="false">X89*Assumptions!$F$174</f>
        <v>0.00411522633645025</v>
      </c>
      <c r="AB90" s="67" t="n">
        <f aca="false">Y89*Assumptions!$F$174</f>
        <v>0.00411522633755219</v>
      </c>
    </row>
    <row r="91" customFormat="false" ht="15" hidden="false" customHeight="false" outlineLevel="0" collapsed="false">
      <c r="A91" s="29" t="s">
        <v>1125</v>
      </c>
      <c r="B91" s="60" t="s">
        <v>1122</v>
      </c>
      <c r="C91" s="66" t="n">
        <f aca="false">P91</f>
        <v>0.987603877616223</v>
      </c>
      <c r="D91" s="66" t="n">
        <f aca="false">AB91</f>
        <v>0.987654320987623</v>
      </c>
      <c r="E91" s="67" t="n">
        <f aca="false">IF(E$5="A",Inputs_Actuals!E130,Inputs_Actuals!E130-E89+E90)</f>
        <v>1</v>
      </c>
      <c r="F91" s="67" t="n">
        <f aca="false">IF(F$5="A",Inputs_Actuals!F130,E91-F89+F90)</f>
        <v>1</v>
      </c>
      <c r="G91" s="67" t="n">
        <f aca="false">IF(G$5="A",Inputs_Actuals!G130,F91-G89+G90)</f>
        <v>1</v>
      </c>
      <c r="H91" s="67" t="n">
        <f aca="false">IF(H$5="A",Inputs_Actuals!H130,G91-H89+H90)</f>
        <v>1</v>
      </c>
      <c r="I91" s="67" t="n">
        <f aca="false">IF(I$5="A",Inputs_Actuals!I130,H91-I89+I90)</f>
        <v>1</v>
      </c>
      <c r="J91" s="67" t="n">
        <f aca="false">IF(J$5="A",Inputs_Actuals!J130,I91-J89+J90)</f>
        <v>1</v>
      </c>
      <c r="K91" s="67" t="n">
        <f aca="false">IF(K$5="A",Inputs_Actuals!K130,J91-K89+K90)</f>
        <v>1</v>
      </c>
      <c r="L91" s="67" t="n">
        <f aca="false">IF(L$5="A",Inputs_Actuals!L130,K91-L89+L90)</f>
        <v>1</v>
      </c>
      <c r="M91" s="67" t="n">
        <f aca="false">IF(M$5="A",Inputs_Actuals!M130,L91-M89+M90)</f>
        <v>0.995833333333333</v>
      </c>
      <c r="N91" s="67" t="n">
        <f aca="false">IF(N$5="A",Inputs_Actuals!N130,M91-N89+N90)</f>
        <v>0.991684027777778</v>
      </c>
      <c r="O91" s="67" t="n">
        <f aca="false">IF(O$5="A",Inputs_Actuals!O130,N91-O89+O90)</f>
        <v>0.98755201099537</v>
      </c>
      <c r="P91" s="67" t="n">
        <f aca="false">IF(P$5="A",Inputs_Actuals!P130,O91-P89+P90)</f>
        <v>0.987603877616223</v>
      </c>
      <c r="Q91" s="67" t="n">
        <f aca="false">IF(Q$5="A",Inputs_Actuals!Q130,P91-Q89+Q90)</f>
        <v>0.987638167015044</v>
      </c>
      <c r="R91" s="67" t="n">
        <f aca="false">IF(R$5="A",Inputs_Actuals!R130,Q91-R89+R90)</f>
        <v>0.987655024768222</v>
      </c>
      <c r="S91" s="67" t="n">
        <f aca="false">IF(S$5="A",Inputs_Actuals!S130,R91-S89+S90)</f>
        <v>0.987654595544169</v>
      </c>
      <c r="T91" s="67" t="n">
        <f aca="false">IF(T$5="A",Inputs_Actuals!T130,S91-T89+T90)</f>
        <v>0.987654384219469</v>
      </c>
      <c r="U91" s="67" t="n">
        <f aca="false">IF(U$5="A",Inputs_Actuals!U130,T91-U89+U90)</f>
        <v>0.987654316647784</v>
      </c>
      <c r="V91" s="67" t="n">
        <f aca="false">IF(V$5="A",Inputs_Actuals!V130,U91-V89+V90)</f>
        <v>0.987654319598286</v>
      </c>
      <c r="W91" s="67" t="n">
        <f aca="false">IF(W$5="A",Inputs_Actuals!W130,V91-W89+W90)</f>
        <v>0.98765432074806</v>
      </c>
      <c r="X91" s="67" t="n">
        <f aca="false">IF(X$5="A",Inputs_Actuals!X130,W91-X89+X90)</f>
        <v>0.987654321012525</v>
      </c>
      <c r="Y91" s="67" t="n">
        <f aca="false">IF(Y$5="A",Inputs_Actuals!Y130,X91-Y89+Y90)</f>
        <v>0.987654320994338</v>
      </c>
      <c r="Z91" s="67" t="n">
        <f aca="false">IF(Z$5="A",Inputs_Actuals!Z130,Y91-Z89+Z90)</f>
        <v>0.987654320988521</v>
      </c>
      <c r="AA91" s="67" t="n">
        <f aca="false">IF(AA$5="A",Inputs_Actuals!AA130,Z91-AA89+AA90)</f>
        <v>0.987654320987519</v>
      </c>
      <c r="AB91" s="67" t="n">
        <f aca="false">IF(AB$5="A",Inputs_Actuals!AB130,AA91-AB89+AB90)</f>
        <v>0.987654320987623</v>
      </c>
    </row>
    <row r="92" customFormat="false" ht="15" hidden="false" customHeight="false" outlineLevel="0" collapsed="false">
      <c r="A92" s="29" t="s">
        <v>1126</v>
      </c>
      <c r="B92" s="60" t="s">
        <v>1118</v>
      </c>
      <c r="C92" s="66" t="n">
        <f aca="false">SUM(E92:P92)</f>
        <v>0.0658379533179012</v>
      </c>
      <c r="D92" s="66" t="n">
        <f aca="false">SUM(Q92:AB92)</f>
        <v>0.237652030918423</v>
      </c>
      <c r="E92" s="72" t="n">
        <f aca="false">0</f>
        <v>0</v>
      </c>
      <c r="F92" s="72" t="n">
        <f aca="false">0</f>
        <v>0</v>
      </c>
      <c r="G92" s="72" t="n">
        <f aca="false">0</f>
        <v>0</v>
      </c>
      <c r="H92" s="72" t="n">
        <f aca="false">0</f>
        <v>0</v>
      </c>
      <c r="I92" s="72" t="n">
        <f aca="false">0</f>
        <v>0</v>
      </c>
      <c r="J92" s="72" t="n">
        <f aca="false">0</f>
        <v>0</v>
      </c>
      <c r="K92" s="72" t="n">
        <f aca="false">0</f>
        <v>0</v>
      </c>
      <c r="L92" s="72" t="n">
        <f aca="false">0</f>
        <v>0</v>
      </c>
      <c r="M92" s="67" t="n">
        <f aca="false">L94*Assumptions!$C$98*Assumptions!$F$173/12</f>
        <v>0.0166666666666667</v>
      </c>
      <c r="N92" s="67" t="n">
        <f aca="false">M94*Assumptions!$C$98*Assumptions!$F$173/12</f>
        <v>0.0165277777777778</v>
      </c>
      <c r="O92" s="67" t="n">
        <f aca="false">N94*Assumptions!$C$98*Assumptions!$F$173/12</f>
        <v>0.0163900462962963</v>
      </c>
      <c r="P92" s="67" t="n">
        <f aca="false">O94*Assumptions!$C$98*Assumptions!$F$173/12</f>
        <v>0.0162534625771605</v>
      </c>
      <c r="Q92" s="67" t="n">
        <f aca="false">P94*Assumptions!$C$98*Assumptions!$F$173/12</f>
        <v>0.016256905944573</v>
      </c>
      <c r="R92" s="67" t="n">
        <f aca="false">Q94*Assumptions!$C$98*Assumptions!$F$173/12</f>
        <v>0.0162591632098498</v>
      </c>
      <c r="S92" s="67" t="n">
        <f aca="false">R94*Assumptions!$C$98*Assumptions!$F$173/12</f>
        <v>0.0162602539022368</v>
      </c>
      <c r="T92" s="67" t="n">
        <f aca="false">S94*Assumptions!$C$98*Assumptions!$F$173/12</f>
        <v>0.0162601973078612</v>
      </c>
      <c r="U92" s="67" t="n">
        <f aca="false">T94*Assumptions!$C$98*Assumptions!$F$173/12</f>
        <v>0.0216768365465004</v>
      </c>
      <c r="V92" s="67" t="n">
        <f aca="false">U94*Assumptions!$C$98*Assumptions!$F$173/12</f>
        <v>0.021631689268695</v>
      </c>
      <c r="W92" s="67" t="n">
        <f aca="false">V94*Assumptions!$C$98*Assumptions!$F$173/12</f>
        <v>0.0215869273073079</v>
      </c>
      <c r="X92" s="67" t="n">
        <f aca="false">W94*Assumptions!$C$98*Assumptions!$F$173/12</f>
        <v>0.0215425378906458</v>
      </c>
      <c r="Y92" s="67" t="n">
        <f aca="false">X94*Assumptions!$C$98*Assumptions!$F$173/12</f>
        <v>0.0215436570461113</v>
      </c>
      <c r="Z92" s="67" t="n">
        <f aca="false">Y94*Assumptions!$C$98*Assumptions!$F$173/12</f>
        <v>0.0215443906479661</v>
      </c>
      <c r="AA92" s="67" t="n">
        <f aca="false">Z94*Assumptions!$C$98*Assumptions!$F$173/12</f>
        <v>0.0215447451201273</v>
      </c>
      <c r="AB92" s="67" t="n">
        <f aca="false">AA94*Assumptions!$C$98*Assumptions!$F$173/12</f>
        <v>0.0215447267265483</v>
      </c>
    </row>
    <row r="93" customFormat="false" ht="15" hidden="false" customHeight="false" outlineLevel="0" collapsed="false">
      <c r="A93" s="29" t="s">
        <v>1127</v>
      </c>
      <c r="B93" s="60" t="s">
        <v>1120</v>
      </c>
      <c r="C93" s="66" t="n">
        <f aca="false">SUM(E93:P93)</f>
        <v>0.0166666666666667</v>
      </c>
      <c r="D93" s="66" t="n">
        <f aca="false">SUM(Q93:AB93)</f>
        <v>0.222189455075016</v>
      </c>
      <c r="E93" s="72" t="n">
        <f aca="false">0</f>
        <v>0</v>
      </c>
      <c r="F93" s="72" t="n">
        <f aca="false">0</f>
        <v>0</v>
      </c>
      <c r="G93" s="72" t="n">
        <f aca="false">0</f>
        <v>0</v>
      </c>
      <c r="H93" s="72" t="n">
        <f aca="false">0</f>
        <v>0</v>
      </c>
      <c r="I93" s="72" t="n">
        <f aca="false">0</f>
        <v>0</v>
      </c>
      <c r="J93" s="72" t="n">
        <f aca="false">0</f>
        <v>0</v>
      </c>
      <c r="K93" s="72" t="n">
        <f aca="false">0</f>
        <v>0</v>
      </c>
      <c r="L93" s="72" t="n">
        <f aca="false">0</f>
        <v>0</v>
      </c>
      <c r="M93" s="72" t="n">
        <f aca="false">0</f>
        <v>0</v>
      </c>
      <c r="N93" s="72" t="n">
        <f aca="false">0</f>
        <v>0</v>
      </c>
      <c r="O93" s="72" t="n">
        <f aca="false">0</f>
        <v>0</v>
      </c>
      <c r="P93" s="67" t="n">
        <f aca="false">M92*Assumptions!$F$174</f>
        <v>0.0166666666666667</v>
      </c>
      <c r="Q93" s="67" t="n">
        <f aca="false">N92*Assumptions!$F$174</f>
        <v>0.0165277777777778</v>
      </c>
      <c r="R93" s="67" t="n">
        <f aca="false">O92*Assumptions!$F$174</f>
        <v>0.0163900462962963</v>
      </c>
      <c r="S93" s="67" t="n">
        <f aca="false">P92*Assumptions!$F$174</f>
        <v>0.0162534625771605</v>
      </c>
      <c r="T93" s="67" t="n">
        <f aca="false">Q92*Assumptions!$F$174</f>
        <v>0.016256905944573</v>
      </c>
      <c r="U93" s="67" t="n">
        <f aca="false">R92*Assumptions!$F$174</f>
        <v>0.0162591632098498</v>
      </c>
      <c r="V93" s="67" t="n">
        <f aca="false">S92*Assumptions!$F$174</f>
        <v>0.0162602539022368</v>
      </c>
      <c r="W93" s="67" t="n">
        <f aca="false">T92*Assumptions!$F$174</f>
        <v>0.0162601973078612</v>
      </c>
      <c r="X93" s="67" t="n">
        <f aca="false">U92*Assumptions!$F$174</f>
        <v>0.0216768365465004</v>
      </c>
      <c r="Y93" s="67" t="n">
        <f aca="false">V92*Assumptions!$F$174</f>
        <v>0.021631689268695</v>
      </c>
      <c r="Z93" s="67" t="n">
        <f aca="false">W92*Assumptions!$F$174</f>
        <v>0.0215869273073079</v>
      </c>
      <c r="AA93" s="67" t="n">
        <f aca="false">X92*Assumptions!$F$174</f>
        <v>0.0215425378906458</v>
      </c>
      <c r="AB93" s="67" t="n">
        <f aca="false">Y92*Assumptions!$F$174</f>
        <v>0.0215436570461113</v>
      </c>
    </row>
    <row r="94" customFormat="false" ht="15" hidden="false" customHeight="false" outlineLevel="0" collapsed="false">
      <c r="A94" s="29" t="s">
        <v>1128</v>
      </c>
      <c r="B94" s="60" t="s">
        <v>1122</v>
      </c>
      <c r="C94" s="66" t="n">
        <f aca="false">P94</f>
        <v>1.95082871334877</v>
      </c>
      <c r="D94" s="66" t="n">
        <f aca="false">AB94</f>
        <v>2.58536613750536</v>
      </c>
      <c r="E94" s="67" t="n">
        <f aca="false">IF(E$5="A",Inputs_Actuals!E131,Inputs_Actuals!E131+E14-E92+E93)</f>
        <v>2</v>
      </c>
      <c r="F94" s="67" t="n">
        <f aca="false">IF(F$5="A",Inputs_Actuals!F131,E94+F14-F92+F93)</f>
        <v>2</v>
      </c>
      <c r="G94" s="67" t="n">
        <f aca="false">IF(G$5="A",Inputs_Actuals!G131,F94+G14-G92+G93)</f>
        <v>2</v>
      </c>
      <c r="H94" s="67" t="n">
        <f aca="false">IF(H$5="A",Inputs_Actuals!H131,G94+H14-H92+H93)</f>
        <v>2</v>
      </c>
      <c r="I94" s="67" t="n">
        <f aca="false">IF(I$5="A",Inputs_Actuals!I131,H94+I14-I92+I93)</f>
        <v>2</v>
      </c>
      <c r="J94" s="67" t="n">
        <f aca="false">IF(J$5="A",Inputs_Actuals!J131,I94+J14-J92+J93)</f>
        <v>2</v>
      </c>
      <c r="K94" s="67" t="n">
        <f aca="false">IF(K$5="A",Inputs_Actuals!K131,J94+K14-K92+K93)</f>
        <v>2</v>
      </c>
      <c r="L94" s="67" t="n">
        <f aca="false">IF(L$5="A",Inputs_Actuals!L131,K94+L14-L92+L93)</f>
        <v>2</v>
      </c>
      <c r="M94" s="67" t="n">
        <f aca="false">IF(M$5="A",Inputs_Actuals!M131,L94+M14-M92+M93)</f>
        <v>1.98333333333333</v>
      </c>
      <c r="N94" s="67" t="n">
        <f aca="false">IF(N$5="A",Inputs_Actuals!N131,M94+N14-N92+N93)</f>
        <v>1.96680555555556</v>
      </c>
      <c r="O94" s="67" t="n">
        <f aca="false">IF(O$5="A",Inputs_Actuals!O131,N94+O14-O92+O93)</f>
        <v>1.95041550925926</v>
      </c>
      <c r="P94" s="67" t="n">
        <f aca="false">IF(P$5="A",Inputs_Actuals!P131,O94+P14-P92+P93)</f>
        <v>1.95082871334877</v>
      </c>
      <c r="Q94" s="67" t="n">
        <f aca="false">IF(Q$5="A",Inputs_Actuals!Q131,P94+Q14-Q92+Q93)</f>
        <v>1.95109958518197</v>
      </c>
      <c r="R94" s="67" t="n">
        <f aca="false">IF(R$5="A",Inputs_Actuals!R131,Q94+R14-R92+R93)</f>
        <v>1.95123046826842</v>
      </c>
      <c r="S94" s="67" t="n">
        <f aca="false">IF(S$5="A",Inputs_Actuals!S131,R94+S14-S92+S93)</f>
        <v>1.95122367694334</v>
      </c>
      <c r="T94" s="67" t="n">
        <f aca="false">IF(T$5="A",Inputs_Actuals!T131,S94+T14-T92+T93)</f>
        <v>2.60122038558005</v>
      </c>
      <c r="U94" s="67" t="n">
        <f aca="false">IF(U$5="A",Inputs_Actuals!U131,T94+U14-U92+U93)</f>
        <v>2.5958027122434</v>
      </c>
      <c r="V94" s="67" t="n">
        <f aca="false">IF(V$5="A",Inputs_Actuals!V131,U94+V14-V92+V93)</f>
        <v>2.59043127687694</v>
      </c>
      <c r="W94" s="67" t="n">
        <f aca="false">IF(W$5="A",Inputs_Actuals!W131,V94+W14-W92+W93)</f>
        <v>2.5851045468775</v>
      </c>
      <c r="X94" s="67" t="n">
        <f aca="false">IF(X$5="A",Inputs_Actuals!X131,W94+X14-X92+X93)</f>
        <v>2.58523884553335</v>
      </c>
      <c r="Y94" s="67" t="n">
        <f aca="false">IF(Y$5="A",Inputs_Actuals!Y131,X94+Y14-Y92+Y93)</f>
        <v>2.58532687775594</v>
      </c>
      <c r="Z94" s="67" t="n">
        <f aca="false">IF(Z$5="A",Inputs_Actuals!Z131,Y94+Z14-Z92+Z93)</f>
        <v>2.58536941441528</v>
      </c>
      <c r="AA94" s="67" t="n">
        <f aca="false">IF(AA$5="A",Inputs_Actuals!AA131,Z94+AA14-AA92+AA93)</f>
        <v>2.5853672071858</v>
      </c>
      <c r="AB94" s="67" t="n">
        <f aca="false">IF(AB$5="A",Inputs_Actuals!AB131,AA94+AB14-AB92+AB93)</f>
        <v>2.58536613750536</v>
      </c>
    </row>
    <row r="95" customFormat="false" ht="15" hidden="false" customHeight="false" outlineLevel="0" collapsed="false">
      <c r="A95" s="29" t="s">
        <v>1129</v>
      </c>
      <c r="B95" s="60" t="s">
        <v>1118</v>
      </c>
      <c r="C95" s="66" t="n">
        <f aca="false">SUM(E95:P95)</f>
        <v>0.122984326171875</v>
      </c>
      <c r="D95" s="66" t="n">
        <f aca="false">SUM(Q95:AB95)</f>
        <v>0.433845402381829</v>
      </c>
      <c r="E95" s="72" t="n">
        <f aca="false">0</f>
        <v>0</v>
      </c>
      <c r="F95" s="72" t="n">
        <f aca="false">0</f>
        <v>0</v>
      </c>
      <c r="G95" s="72" t="n">
        <f aca="false">0</f>
        <v>0</v>
      </c>
      <c r="H95" s="72" t="n">
        <f aca="false">0</f>
        <v>0</v>
      </c>
      <c r="I95" s="72" t="n">
        <f aca="false">0</f>
        <v>0</v>
      </c>
      <c r="J95" s="72" t="n">
        <f aca="false">0</f>
        <v>0</v>
      </c>
      <c r="K95" s="72" t="n">
        <f aca="false">0</f>
        <v>0</v>
      </c>
      <c r="L95" s="72" t="n">
        <f aca="false">0</f>
        <v>0</v>
      </c>
      <c r="M95" s="67" t="n">
        <f aca="false">L97*Assumptions!$C$99*Assumptions!$F$173/12</f>
        <v>0.025</v>
      </c>
      <c r="N95" s="67" t="n">
        <f aca="false">M97*Assumptions!$C$99*Assumptions!$F$173/12</f>
        <v>0.0246875</v>
      </c>
      <c r="O95" s="67" t="n">
        <f aca="false">N97*Assumptions!$C$99*Assumptions!$F$173/12</f>
        <v>0.03687890625</v>
      </c>
      <c r="P95" s="67" t="n">
        <f aca="false">O97*Assumptions!$C$99*Assumptions!$F$173/12</f>
        <v>0.036417919921875</v>
      </c>
      <c r="Q95" s="67" t="n">
        <f aca="false">P97*Assumptions!$C$99*Assumptions!$F$173/12</f>
        <v>0.0362751959228516</v>
      </c>
      <c r="R95" s="67" t="n">
        <f aca="false">Q97*Assumptions!$C$99*Assumptions!$F$173/12</f>
        <v>0.0361303497238159</v>
      </c>
      <c r="S95" s="67" t="n">
        <f aca="false">R97*Assumptions!$C$99*Assumptions!$F$173/12</f>
        <v>0.0361397066803932</v>
      </c>
      <c r="T95" s="67" t="n">
        <f aca="false">S97*Assumptions!$C$99*Assumptions!$F$173/12</f>
        <v>0.0361431843459117</v>
      </c>
      <c r="U95" s="67" t="n">
        <f aca="false">T97*Assumptions!$C$99*Assumptions!$F$173/12</f>
        <v>0.0361448344906235</v>
      </c>
      <c r="V95" s="67" t="n">
        <f aca="false">U97*Assumptions!$C$99*Assumptions!$F$173/12</f>
        <v>0.0361446534310384</v>
      </c>
      <c r="W95" s="67" t="n">
        <f aca="false">V97*Assumptions!$C$99*Assumptions!$F$173/12</f>
        <v>0.0361445915966553</v>
      </c>
      <c r="X95" s="67" t="n">
        <f aca="false">W97*Assumptions!$C$99*Assumptions!$F$173/12</f>
        <v>0.036144574006021</v>
      </c>
      <c r="Y95" s="67" t="n">
        <f aca="false">X97*Assumptions!$C$99*Assumptions!$F$173/12</f>
        <v>0.0361445772620786</v>
      </c>
      <c r="Z95" s="67" t="n">
        <f aca="false">Y97*Assumptions!$C$99*Assumptions!$F$173/12</f>
        <v>0.0361445782141906</v>
      </c>
      <c r="AA95" s="67" t="n">
        <f aca="false">Z97*Assumptions!$C$99*Assumptions!$F$173/12</f>
        <v>0.0361445783814714</v>
      </c>
      <c r="AB95" s="67" t="n">
        <f aca="false">AA97*Assumptions!$C$99*Assumptions!$F$173/12</f>
        <v>0.0361445783267782</v>
      </c>
    </row>
    <row r="96" customFormat="false" ht="15" hidden="false" customHeight="false" outlineLevel="0" collapsed="false">
      <c r="A96" s="29" t="s">
        <v>1130</v>
      </c>
      <c r="B96" s="60" t="s">
        <v>1120</v>
      </c>
      <c r="C96" s="66" t="n">
        <f aca="false">SUM(E96:P96)</f>
        <v>0.025</v>
      </c>
      <c r="D96" s="66" t="n">
        <f aca="false">SUM(Q96:AB96)</f>
        <v>0.423395993631264</v>
      </c>
      <c r="E96" s="72" t="n">
        <f aca="false">0</f>
        <v>0</v>
      </c>
      <c r="F96" s="72" t="n">
        <f aca="false">0</f>
        <v>0</v>
      </c>
      <c r="G96" s="72" t="n">
        <f aca="false">0</f>
        <v>0</v>
      </c>
      <c r="H96" s="72" t="n">
        <f aca="false">0</f>
        <v>0</v>
      </c>
      <c r="I96" s="72" t="n">
        <f aca="false">0</f>
        <v>0</v>
      </c>
      <c r="J96" s="72" t="n">
        <f aca="false">0</f>
        <v>0</v>
      </c>
      <c r="K96" s="72" t="n">
        <f aca="false">0</f>
        <v>0</v>
      </c>
      <c r="L96" s="72" t="n">
        <f aca="false">0</f>
        <v>0</v>
      </c>
      <c r="M96" s="72" t="n">
        <f aca="false">0</f>
        <v>0</v>
      </c>
      <c r="N96" s="72" t="n">
        <f aca="false">0</f>
        <v>0</v>
      </c>
      <c r="O96" s="72" t="n">
        <f aca="false">0</f>
        <v>0</v>
      </c>
      <c r="P96" s="67" t="n">
        <f aca="false">M95*Assumptions!$F$174</f>
        <v>0.025</v>
      </c>
      <c r="Q96" s="67" t="n">
        <f aca="false">N95*Assumptions!$F$174</f>
        <v>0.0246875</v>
      </c>
      <c r="R96" s="67" t="n">
        <f aca="false">O95*Assumptions!$F$174</f>
        <v>0.03687890625</v>
      </c>
      <c r="S96" s="67" t="n">
        <f aca="false">P95*Assumptions!$F$174</f>
        <v>0.036417919921875</v>
      </c>
      <c r="T96" s="67" t="n">
        <f aca="false">Q95*Assumptions!$F$174</f>
        <v>0.0362751959228516</v>
      </c>
      <c r="U96" s="67" t="n">
        <f aca="false">R95*Assumptions!$F$174</f>
        <v>0.0361303497238159</v>
      </c>
      <c r="V96" s="67" t="n">
        <f aca="false">S95*Assumptions!$F$174</f>
        <v>0.0361397066803932</v>
      </c>
      <c r="W96" s="67" t="n">
        <f aca="false">T95*Assumptions!$F$174</f>
        <v>0.0361431843459117</v>
      </c>
      <c r="X96" s="67" t="n">
        <f aca="false">U95*Assumptions!$F$174</f>
        <v>0.0361448344906235</v>
      </c>
      <c r="Y96" s="67" t="n">
        <f aca="false">V95*Assumptions!$F$174</f>
        <v>0.0361446534310384</v>
      </c>
      <c r="Z96" s="67" t="n">
        <f aca="false">W95*Assumptions!$F$174</f>
        <v>0.0361445915966553</v>
      </c>
      <c r="AA96" s="67" t="n">
        <f aca="false">X95*Assumptions!$F$174</f>
        <v>0.036144574006021</v>
      </c>
      <c r="AB96" s="67" t="n">
        <f aca="false">Y95*Assumptions!$F$174</f>
        <v>0.0361445772620786</v>
      </c>
    </row>
    <row r="97" customFormat="false" ht="15" hidden="false" customHeight="false" outlineLevel="0" collapsed="false">
      <c r="A97" s="29" t="s">
        <v>1131</v>
      </c>
      <c r="B97" s="60" t="s">
        <v>1132</v>
      </c>
      <c r="C97" s="66" t="n">
        <f aca="false">P97</f>
        <v>2.90201567382813</v>
      </c>
      <c r="D97" s="66" t="n">
        <f aca="false">AB97</f>
        <v>2.89156626507756</v>
      </c>
      <c r="E97" s="67" t="n">
        <f aca="false">IF(E$5="A",Inputs_Actuals!E132,Inputs_Actuals!E132+E11-E95+E96-IF(Assumptions!E$186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F97" s="67" t="n">
        <f aca="false">IF(F$5="A",Inputs_Actuals!F132,E97+F11-F95+F96-IF(Assumptions!F$186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G97" s="67" t="n">
        <f aca="false">IF(G$5="A",Inputs_Actuals!G132,F97+G11-G95+G96-IF(Assumptions!G$186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H97" s="67" t="n">
        <f aca="false">IF(H$5="A",Inputs_Actuals!H132,G97+H11-H95+H96-IF(Assumptions!H$186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I97" s="67" t="n">
        <f aca="false">IF(I$5="A",Inputs_Actuals!I132,H97+I11-I95+I96-IF(Assumptions!I$186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J97" s="67" t="n">
        <f aca="false">IF(J$5="A",Inputs_Actuals!J132,I97+J11-J95+J96-IF(Assumptions!J$186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3</v>
      </c>
      <c r="K97" s="67" t="n">
        <f aca="false">IF(K$5="A",Inputs_Actuals!K132,J97+K11-K95+K96-IF(Assumptions!K$186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v>
      </c>
      <c r="L97" s="67" t="n">
        <f aca="false">IF(L$5="A",Inputs_Actuals!L132,K97+L11-L95+L96-IF(Assumptions!L$186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v>
      </c>
      <c r="M97" s="67" t="n">
        <f aca="false">IF(M$5="A",Inputs_Actuals!M132,L97+M11-M95+M96-IF(Assumptions!M$186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1.975</v>
      </c>
      <c r="N97" s="67" t="n">
        <f aca="false">IF(N$5="A",Inputs_Actuals!N132,M97+N11-N95+N96-IF(Assumptions!N$186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2.9503125</v>
      </c>
      <c r="O97" s="67" t="n">
        <f aca="false">IF(O$5="A",Inputs_Actuals!O132,N97+O11-O95+O96-IF(Assumptions!O$186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2.91343359375</v>
      </c>
      <c r="P97" s="67" t="n">
        <f aca="false">IF(P$5="A",Inputs_Actuals!P132,O97+P11-P95+P96-IF(Assumptions!P$186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2.90201567382813</v>
      </c>
      <c r="Q97" s="67" t="n">
        <f aca="false">IF(Q$5="A",Inputs_Actuals!Q132,P97+Q11-Q95+Q96-IF(Assumptions!Q$186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2.89042797790527</v>
      </c>
      <c r="R97" s="67" t="n">
        <f aca="false">IF(R$5="A",Inputs_Actuals!R132,Q97+R11-R95+R96-IF(Assumptions!R$186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2.89117653443146</v>
      </c>
      <c r="S97" s="67" t="n">
        <f aca="false">IF(S$5="A",Inputs_Actuals!S132,R97+S11-S95+S96-IF(Assumptions!S$186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2.89145474767294</v>
      </c>
      <c r="T97" s="67" t="n">
        <f aca="false">IF(T$5="A",Inputs_Actuals!T132,S97+T11-T95+T96-IF(Assumptions!T$186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2.89158675924988</v>
      </c>
      <c r="U97" s="67" t="n">
        <f aca="false">IF(U$5="A",Inputs_Actuals!U132,T97+U11-U95+U96-IF(Assumptions!U$186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2.89157227448307</v>
      </c>
      <c r="V97" s="67" t="n">
        <f aca="false">IF(V$5="A",Inputs_Actuals!V132,U97+V11-V95+V96-IF(Assumptions!V$186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2.89156732773243</v>
      </c>
      <c r="W97" s="67" t="n">
        <f aca="false">IF(W$5="A",Inputs_Actuals!W132,V97+W11-W95+W96-IF(Assumptions!W$186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2.89156592048168</v>
      </c>
      <c r="X97" s="67" t="n">
        <f aca="false">IF(X$5="A",Inputs_Actuals!X132,W97+X11-X95+X96-IF(Assumptions!X$186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2.89156618096629</v>
      </c>
      <c r="Y97" s="67" t="n">
        <f aca="false">IF(Y$5="A",Inputs_Actuals!Y132,X97+Y11-Y95+Y96-IF(Assumptions!Y$186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2.89156625713524</v>
      </c>
      <c r="Z97" s="67" t="n">
        <f aca="false">IF(Z$5="A",Inputs_Actuals!Z132,Y97+Z11-Z95+Z96-IF(Assumptions!Z$186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2.89156627051771</v>
      </c>
      <c r="AA97" s="67" t="n">
        <f aca="false">IF(AA$5="A",Inputs_Actuals!AA132,Z97+AA11-AA95+AA96-IF(Assumptions!AA$186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2.89156626614226</v>
      </c>
      <c r="AB97" s="67" t="n">
        <f aca="false">IF(AB$5="A",Inputs_Actuals!AB132,AA97+AB11-AB95+AB96-IF(Assumptions!AB$186=Assumptions!$F$178,Assumptions!$F$177*INDEX(Inputs_Actuals!$E$132:$AB$132,Assumptions!$C$10)/(INDEX(Inputs_Actuals!$E$122:$AB$122,Assumptions!$C$10)+INDEX(Inputs_Actuals!$E$123:$AB$123,Assumptions!$C$10)+INDEX(Inputs_Actuals!$E$127:$AB$127,Assumptions!$C$10)+INDEX(Inputs_Actuals!$E$128:$AB$128,Assumptions!$C$10)+INDEX(Inputs_Actuals!$E$132:$AB$132,Assumptions!$C$10)+INDEX(Inputs_Actuals!$E$133:$AB$133,Assumptions!$C$10)),0))</f>
        <v>2.89156626507756</v>
      </c>
    </row>
    <row r="98" customFormat="false" ht="15" hidden="false" customHeight="false" outlineLevel="0" collapsed="false">
      <c r="A98" s="29" t="s">
        <v>1133</v>
      </c>
      <c r="B98" s="60" t="s">
        <v>1118</v>
      </c>
      <c r="C98" s="66" t="n">
        <f aca="false">SUM(E98:P98)</f>
        <v>0.184244067382813</v>
      </c>
      <c r="D98" s="66" t="n">
        <f aca="false">SUM(Q98:AB98)</f>
        <v>0.578275891974381</v>
      </c>
      <c r="E98" s="72" t="n">
        <f aca="false">0</f>
        <v>0</v>
      </c>
      <c r="F98" s="72" t="n">
        <f aca="false">0</f>
        <v>0</v>
      </c>
      <c r="G98" s="72" t="n">
        <f aca="false">0</f>
        <v>0</v>
      </c>
      <c r="H98" s="72" t="n">
        <f aca="false">0</f>
        <v>0</v>
      </c>
      <c r="I98" s="72" t="n">
        <f aca="false">0</f>
        <v>0</v>
      </c>
      <c r="J98" s="72" t="n">
        <f aca="false">0</f>
        <v>0</v>
      </c>
      <c r="K98" s="72" t="n">
        <f aca="false">0</f>
        <v>0</v>
      </c>
      <c r="L98" s="72" t="n">
        <f aca="false">0</f>
        <v>0</v>
      </c>
      <c r="M98" s="67" t="n">
        <f aca="false">L100*Assumptions!$C$100*Assumptions!$F$173/12</f>
        <v>0.0375</v>
      </c>
      <c r="N98" s="67" t="n">
        <f aca="false">M100*Assumptions!$C$100*Assumptions!$F$173/12</f>
        <v>0.04953125</v>
      </c>
      <c r="O98" s="67" t="n">
        <f aca="false">N100*Assumptions!$C$100*Assumptions!$F$173/12</f>
        <v>0.048912109375</v>
      </c>
      <c r="P98" s="67" t="n">
        <f aca="false">O100*Assumptions!$C$100*Assumptions!$F$173/12</f>
        <v>0.0483007080078125</v>
      </c>
      <c r="Q98" s="67" t="n">
        <f aca="false">P100*Assumptions!$C$100*Assumptions!$F$173/12</f>
        <v>0.0481656991577149</v>
      </c>
      <c r="R98" s="67" t="n">
        <f aca="false">Q100*Assumptions!$C$100*Assumptions!$F$173/12</f>
        <v>0.0481827685432434</v>
      </c>
      <c r="S98" s="67" t="n">
        <f aca="false">R100*Assumptions!$C$100*Assumptions!$F$173/12</f>
        <v>0.0481918853036404</v>
      </c>
      <c r="T98" s="67" t="n">
        <f aca="false">S100*Assumptions!$C$100*Assumptions!$F$173/12</f>
        <v>0.0481932455874425</v>
      </c>
      <c r="U98" s="67" t="n">
        <f aca="false">T100*Assumptions!$C$100*Assumptions!$F$173/12</f>
        <v>0.0481929012570709</v>
      </c>
      <c r="V98" s="67" t="n">
        <f aca="false">U100*Assumptions!$C$100*Assumptions!$F$173/12</f>
        <v>0.0481927745981481</v>
      </c>
      <c r="W98" s="67" t="n">
        <f aca="false">V100*Assumptions!$C$100*Assumptions!$F$173/12</f>
        <v>0.0481927634819667</v>
      </c>
      <c r="X98" s="67" t="n">
        <f aca="false">W100*Assumptions!$C$100*Assumptions!$F$173/12</f>
        <v>0.0481927695082852</v>
      </c>
      <c r="Y98" s="67" t="n">
        <f aca="false">X100*Assumptions!$C$100*Assumptions!$F$173/12</f>
        <v>0.048192771155145</v>
      </c>
      <c r="Z98" s="67" t="n">
        <f aca="false">Y100*Assumptions!$C$100*Assumptions!$F$173/12</f>
        <v>0.0481927711981825</v>
      </c>
      <c r="AA98" s="67" t="n">
        <f aca="false">Z100*Assumptions!$C$100*Assumptions!$F$173/12</f>
        <v>0.0481927711017298</v>
      </c>
      <c r="AB98" s="67" t="n">
        <f aca="false">AA100*Assumptions!$C$100*Assumptions!$F$173/12</f>
        <v>0.0481927710818118</v>
      </c>
    </row>
    <row r="99" customFormat="false" ht="15" hidden="false" customHeight="false" outlineLevel="0" collapsed="false">
      <c r="A99" s="29" t="s">
        <v>1134</v>
      </c>
      <c r="B99" s="60" t="s">
        <v>1120</v>
      </c>
      <c r="C99" s="66" t="n">
        <f aca="false">SUM(E99:P99)</f>
        <v>0.0375</v>
      </c>
      <c r="D99" s="66" t="n">
        <f aca="false">SUM(Q99:AB99)</f>
        <v>0.58044164597547</v>
      </c>
      <c r="E99" s="72" t="n">
        <f aca="false">0</f>
        <v>0</v>
      </c>
      <c r="F99" s="72" t="n">
        <f aca="false">0</f>
        <v>0</v>
      </c>
      <c r="G99" s="72" t="n">
        <f aca="false">0</f>
        <v>0</v>
      </c>
      <c r="H99" s="72" t="n">
        <f aca="false">0</f>
        <v>0</v>
      </c>
      <c r="I99" s="72" t="n">
        <f aca="false">0</f>
        <v>0</v>
      </c>
      <c r="J99" s="72" t="n">
        <f aca="false">0</f>
        <v>0</v>
      </c>
      <c r="K99" s="72" t="n">
        <f aca="false">0</f>
        <v>0</v>
      </c>
      <c r="L99" s="72" t="n">
        <f aca="false">0</f>
        <v>0</v>
      </c>
      <c r="M99" s="72" t="n">
        <f aca="false">0</f>
        <v>0</v>
      </c>
      <c r="N99" s="72" t="n">
        <f aca="false">0</f>
        <v>0</v>
      </c>
      <c r="O99" s="72" t="n">
        <f aca="false">0</f>
        <v>0</v>
      </c>
      <c r="P99" s="67" t="n">
        <f aca="false">M98*Assumptions!$F$174</f>
        <v>0.0375</v>
      </c>
      <c r="Q99" s="67" t="n">
        <f aca="false">N98*Assumptions!$F$174</f>
        <v>0.04953125</v>
      </c>
      <c r="R99" s="67" t="n">
        <f aca="false">O98*Assumptions!$F$174</f>
        <v>0.048912109375</v>
      </c>
      <c r="S99" s="67" t="n">
        <f aca="false">P98*Assumptions!$F$174</f>
        <v>0.0483007080078125</v>
      </c>
      <c r="T99" s="67" t="n">
        <f aca="false">Q98*Assumptions!$F$174</f>
        <v>0.0481656991577149</v>
      </c>
      <c r="U99" s="67" t="n">
        <f aca="false">R98*Assumptions!$F$174</f>
        <v>0.0481827685432434</v>
      </c>
      <c r="V99" s="67" t="n">
        <f aca="false">S98*Assumptions!$F$174</f>
        <v>0.0481918853036404</v>
      </c>
      <c r="W99" s="67" t="n">
        <f aca="false">T98*Assumptions!$F$174</f>
        <v>0.0481932455874425</v>
      </c>
      <c r="X99" s="67" t="n">
        <f aca="false">U98*Assumptions!$F$174</f>
        <v>0.0481929012570709</v>
      </c>
      <c r="Y99" s="67" t="n">
        <f aca="false">V98*Assumptions!$F$174</f>
        <v>0.0481927745981481</v>
      </c>
      <c r="Z99" s="67" t="n">
        <f aca="false">W98*Assumptions!$F$174</f>
        <v>0.0481927634819667</v>
      </c>
      <c r="AA99" s="67" t="n">
        <f aca="false">X98*Assumptions!$F$174</f>
        <v>0.0481927695082852</v>
      </c>
      <c r="AB99" s="67" t="n">
        <f aca="false">Y98*Assumptions!$F$174</f>
        <v>0.048192771155145</v>
      </c>
    </row>
    <row r="100" customFormat="false" ht="15" hidden="false" customHeight="false" outlineLevel="0" collapsed="false">
      <c r="A100" s="29" t="s">
        <v>1135</v>
      </c>
      <c r="B100" s="60" t="s">
        <v>1132</v>
      </c>
      <c r="C100" s="66" t="n">
        <f aca="false">P100</f>
        <v>3.85325593261719</v>
      </c>
      <c r="D100" s="66" t="n">
        <f aca="false">AB100</f>
        <v>3.85542168661828</v>
      </c>
      <c r="E100" s="67" t="n">
        <f aca="false">IF(E$5="A",Inputs_Actuals!E133,Inputs_Actuals!E133+E10-E98+E99-IF(Assumptions!E$186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2</v>
      </c>
      <c r="F100" s="67" t="n">
        <f aca="false">IF(F$5="A",Inputs_Actuals!F133,E100+F10-F98+F99-IF(Assumptions!F$186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2</v>
      </c>
      <c r="G100" s="67" t="n">
        <f aca="false">IF(G$5="A",Inputs_Actuals!G133,F100+G10-G98+G99-IF(Assumptions!G$186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2</v>
      </c>
      <c r="H100" s="67" t="n">
        <f aca="false">IF(H$5="A",Inputs_Actuals!H133,G100+H10-H98+H99-IF(Assumptions!H$186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2</v>
      </c>
      <c r="I100" s="67" t="n">
        <f aca="false">IF(I$5="A",Inputs_Actuals!I133,H100+I10-I98+I99-IF(Assumptions!I$186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v>
      </c>
      <c r="J100" s="67" t="n">
        <f aca="false">IF(J$5="A",Inputs_Actuals!J133,I100+J10-J98+J99-IF(Assumptions!J$186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v>
      </c>
      <c r="K100" s="67" t="n">
        <f aca="false">IF(K$5="A",Inputs_Actuals!K133,J100+K10-K98+K99-IF(Assumptions!K$186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v>
      </c>
      <c r="L100" s="67" t="n">
        <f aca="false">IF(L$5="A",Inputs_Actuals!L133,K100+L10-L98+L99-IF(Assumptions!L$186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v>
      </c>
      <c r="M100" s="67" t="n">
        <f aca="false">IF(M$5="A",Inputs_Actuals!M133,L100+M10-M98+M99-IF(Assumptions!M$186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3.9625</v>
      </c>
      <c r="N100" s="67" t="n">
        <f aca="false">IF(N$5="A",Inputs_Actuals!N133,M100+N10-N98+N99-IF(Assumptions!N$186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3.91296875</v>
      </c>
      <c r="O100" s="67" t="n">
        <f aca="false">IF(O$5="A",Inputs_Actuals!O133,N100+O10-O98+O99-IF(Assumptions!O$186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3.864056640625</v>
      </c>
      <c r="P100" s="67" t="n">
        <f aca="false">IF(P$5="A",Inputs_Actuals!P133,O100+P10-P98+P99-IF(Assumptions!P$186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3.85325593261719</v>
      </c>
      <c r="Q100" s="67" t="n">
        <f aca="false">IF(Q$5="A",Inputs_Actuals!Q133,P100+Q10-Q98+Q99-IF(Assumptions!Q$186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3.85462148345947</v>
      </c>
      <c r="R100" s="67" t="n">
        <f aca="false">IF(R$5="A",Inputs_Actuals!R133,Q100+R10-R98+R99-IF(Assumptions!R$186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3.85535082429123</v>
      </c>
      <c r="S100" s="67" t="n">
        <f aca="false">IF(S$5="A",Inputs_Actuals!S133,R100+S10-S98+S99-IF(Assumptions!S$186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3.8554596469954</v>
      </c>
      <c r="T100" s="67" t="n">
        <f aca="false">IF(T$5="A",Inputs_Actuals!T133,S100+T10-T98+T99-IF(Assumptions!T$186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3.85543210056567</v>
      </c>
      <c r="U100" s="67" t="n">
        <f aca="false">IF(U$5="A",Inputs_Actuals!U133,T100+U10-U98+U99-IF(Assumptions!U$186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3.85542196785185</v>
      </c>
      <c r="V100" s="67" t="n">
        <f aca="false">IF(V$5="A",Inputs_Actuals!V133,U100+V10-V98+V99-IF(Assumptions!V$186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3.85542107855734</v>
      </c>
      <c r="W100" s="67" t="n">
        <f aca="false">IF(W$5="A",Inputs_Actuals!W133,V100+W10-W98+W99-IF(Assumptions!W$186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3.85542156066281</v>
      </c>
      <c r="X100" s="67" t="n">
        <f aca="false">IF(X$5="A",Inputs_Actuals!X133,W100+X10-X98+X99-IF(Assumptions!X$186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3.8554216924116</v>
      </c>
      <c r="Y100" s="67" t="n">
        <f aca="false">IF(Y$5="A",Inputs_Actuals!Y133,X100+Y10-Y98+Y99-IF(Assumptions!Y$186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3.8554216958546</v>
      </c>
      <c r="Z100" s="67" t="n">
        <f aca="false">IF(Z$5="A",Inputs_Actuals!Z133,Y100+Z10-Z98+Z99-IF(Assumptions!Z$186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3.85542168813839</v>
      </c>
      <c r="AA100" s="67" t="n">
        <f aca="false">IF(AA$5="A",Inputs_Actuals!AA133,Z100+AA10-AA98+AA99-IF(Assumptions!AA$186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3.85542168654494</v>
      </c>
      <c r="AB100" s="67" t="n">
        <f aca="false">IF(AB$5="A",Inputs_Actuals!AB133,AA100+AB10-AB98+AB99-IF(Assumptions!AB$186=Assumptions!$F$178,Assumptions!$F$177*INDEX(Inputs_Actuals!$E$133:$AB$133,Assumptions!$C$10)/(INDEX(Inputs_Actuals!$E$122:$AB$122,Assumptions!$C$10)+INDEX(Inputs_Actuals!$E$123:$AB$123,Assumptions!$C$10)+INDEX(Inputs_Actuals!$E$127:$AB$127,Assumptions!$C$10)+INDEX(Inputs_Actuals!$E$128:$AB$128,Assumptions!$C$10)+INDEX(Inputs_Actuals!$E$132:$AB$132,Assumptions!$C$10)+INDEX(Inputs_Actuals!$E$133:$AB$133,Assumptions!$C$10)),0))</f>
        <v>3.85542168661828</v>
      </c>
    </row>
    <row r="101" customFormat="false" ht="15" hidden="false" customHeight="false" outlineLevel="0" collapsed="false">
      <c r="A101" s="29" t="s">
        <v>1136</v>
      </c>
      <c r="B101" s="60" t="s">
        <v>1137</v>
      </c>
      <c r="C101" s="61" t="n">
        <f aca="false">SUM(E101:P101)</f>
        <v>990621.921821427</v>
      </c>
      <c r="D101" s="61" t="n">
        <f aca="false">SUM(Q101:AB101)</f>
        <v>1152490.87728051</v>
      </c>
      <c r="E101" s="62" t="n">
        <f aca="false">IF(E$5="A",Inputs_Actuals!E170,E88*E21+E91*E24+E94*E27+E97*E30+E100*E33)</f>
        <v>79638</v>
      </c>
      <c r="F101" s="62" t="n">
        <f aca="false">IF(F$5="A",Inputs_Actuals!F170,F88*F21+F91*F24+F94*F27+F97*F30+F100*F33)</f>
        <v>80016.47</v>
      </c>
      <c r="G101" s="62" t="n">
        <f aca="false">IF(G$5="A",Inputs_Actuals!G170,G88*G21+G91*G24+G94*G27+G97*G30+G100*G33)</f>
        <v>79569.9</v>
      </c>
      <c r="H101" s="62" t="n">
        <f aca="false">IF(H$5="A",Inputs_Actuals!H170,H88*H21+H91*H24+H94*H27+H97*H30+H100*H33)</f>
        <v>79200.57</v>
      </c>
      <c r="I101" s="62" t="n">
        <f aca="false">IF(I$5="A",Inputs_Actuals!I170,I88*I21+I91*I24+I94*I27+I97*I30+I100*I33)</f>
        <v>84511.49</v>
      </c>
      <c r="J101" s="62" t="n">
        <f aca="false">IF(J$5="A",Inputs_Actuals!J170,J88*J21+J91*J24+J94*J27+J97*J30+J100*J33)</f>
        <v>84877.56</v>
      </c>
      <c r="K101" s="62" t="n">
        <f aca="false">IF(K$5="A",Inputs_Actuals!K170,K88*K21+K91*K24+K94*K27+K97*K30+K100*K33)</f>
        <v>77773.9</v>
      </c>
      <c r="L101" s="62" t="n">
        <f aca="false">IF(L$5="A",Inputs_Actuals!L170,L88*L21+L91*L24+L94*L27+L97*L30+L100*L33)</f>
        <v>77724.59</v>
      </c>
      <c r="M101" s="62" t="n">
        <f aca="false">IF(M$5="A",Inputs_Actuals!M170,M88*M21+M91*M24+M94*M27+M97*M30+M100*M33)</f>
        <v>82506.7708333333</v>
      </c>
      <c r="N101" s="62" t="n">
        <f aca="false">IF(N$5="A",Inputs_Actuals!N170,N88*N21+N91*N24+N94*N27+N97*N30+N100*N33)</f>
        <v>88787.8899016204</v>
      </c>
      <c r="O101" s="62" t="n">
        <f aca="false">IF(O$5="A",Inputs_Actuals!O170,O88*O21+O91*O24+O94*O27+O97*O30+O100*O33)</f>
        <v>88072.7475857205</v>
      </c>
      <c r="P101" s="62" t="n">
        <f aca="false">IF(P$5="A",Inputs_Actuals!P170,P88*P21+P91*P24+P94*P27+P97*P30+P100*P33)</f>
        <v>87942.033500753</v>
      </c>
      <c r="Q101" s="62" t="n">
        <f aca="false">IF(Q$5="A",Inputs_Actuals!Q170,Q88*Q21+Q91*Q24+Q94*Q27+Q97*Q30+Q100*Q33)</f>
        <v>91386.8383834486</v>
      </c>
      <c r="R101" s="62" t="n">
        <f aca="false">IF(R$5="A",Inputs_Actuals!R170,R88*R21+R91*R24+R94*R27+R97*R30+R100*R33)</f>
        <v>91397.6661075266</v>
      </c>
      <c r="S101" s="62" t="n">
        <f aca="false">IF(S$5="A",Inputs_Actuals!S170,S88*S21+S91*S24+S94*S27+S97*S30+S100*S33)</f>
        <v>91400.1852689843</v>
      </c>
      <c r="T101" s="62" t="n">
        <f aca="false">IF(T$5="A",Inputs_Actuals!T170,T88*T21+T91*T24+T94*T27+T97*T30+T100*T33)</f>
        <v>97710.2842637497</v>
      </c>
      <c r="U101" s="62" t="n">
        <f aca="false">IF(U$5="A",Inputs_Actuals!U170,U88*U21+U91*U24+U94*U27+U97*U30+U100*U33)</f>
        <v>97657.5367451285</v>
      </c>
      <c r="V101" s="62" t="n">
        <f aca="false">IF(V$5="A",Inputs_Actuals!V170,V88*V21+V91*V24+V94*V27+V97*V30+V100*V33)</f>
        <v>97605.3576507345</v>
      </c>
      <c r="W101" s="62" t="n">
        <f aca="false">IF(W$5="A",Inputs_Actuals!W170,W88*W21+W91*W24+W94*W27+W97*W30+W100*W33)</f>
        <v>97553.6453619338</v>
      </c>
      <c r="X101" s="62" t="n">
        <f aca="false">IF(X$5="A",Inputs_Actuals!X170,X88*X21+X91*X24+X94*X27+X97*X30+X100*X33)</f>
        <v>97554.9515450957</v>
      </c>
      <c r="Y101" s="62" t="n">
        <f aca="false">IF(Y$5="A",Inputs_Actuals!Y170,Y88*Y21+Y91*Y24+Y94*Y27+Y97*Y30+Y100*Y33)</f>
        <v>97555.806610855</v>
      </c>
      <c r="Z101" s="62" t="n">
        <f aca="false">IF(Z$5="A",Inputs_Actuals!Z170,Z88*Z21+Z91*Z24+Z94*Z27+Z97*Z30+Z100*Z33)</f>
        <v>97556.2195544201</v>
      </c>
      <c r="AA101" s="62" t="n">
        <f aca="false">IF(AA$5="A",Inputs_Actuals!AA170,AA88*AA21+AA91*AA24+AA94*AA27+AA97*AA30+AA100*AA33)</f>
        <v>97556.1980894608</v>
      </c>
      <c r="AB101" s="62" t="n">
        <f aca="false">IF(AB$5="A",Inputs_Actuals!AB170,AB88*AB21+AB91*AB24+AB94*AB27+AB97*AB30+AB100*AB33)</f>
        <v>97556.1876991692</v>
      </c>
    </row>
    <row r="102" customFormat="false" ht="15" hidden="false" customHeight="false" outlineLevel="0" collapsed="false">
      <c r="A102" s="29" t="s">
        <v>1138</v>
      </c>
      <c r="B102" s="60" t="s">
        <v>1139</v>
      </c>
      <c r="C102" s="61" t="n">
        <f aca="false">SUM(E102:P102)</f>
        <v>160057.353594002</v>
      </c>
      <c r="D102" s="61" t="n">
        <f aca="false">SUM(Q102:AB102)</f>
        <v>193691.291676847</v>
      </c>
      <c r="E102" s="62" t="n">
        <f aca="false">IF(E$5="A",Inputs_Actuals!E171,E88*E22+E91*E25+E94*E28+E97*E31+E100*E34)</f>
        <v>12639.04</v>
      </c>
      <c r="F102" s="62" t="n">
        <f aca="false">IF(F$5="A",Inputs_Actuals!F171,F88*F22+F91*F25+F94*F28+F97*F31+F100*F34)</f>
        <v>12621.34</v>
      </c>
      <c r="G102" s="62" t="n">
        <f aca="false">IF(G$5="A",Inputs_Actuals!G171,G88*G22+G91*G25+G94*G28+G97*G31+G100*G34)</f>
        <v>12613.51</v>
      </c>
      <c r="H102" s="62" t="n">
        <f aca="false">IF(H$5="A",Inputs_Actuals!H171,H88*H22+H91*H25+H94*H28+H97*H31+H100*H34)</f>
        <v>12671.51</v>
      </c>
      <c r="I102" s="62" t="n">
        <f aca="false">IF(I$5="A",Inputs_Actuals!I171,I88*I22+I91*I25+I94*I28+I97*I31+I100*I34)</f>
        <v>13814.17</v>
      </c>
      <c r="J102" s="62" t="n">
        <f aca="false">IF(J$5="A",Inputs_Actuals!J171,J88*J22+J91*J25+J94*J28+J97*J31+J100*J34)</f>
        <v>13782.85</v>
      </c>
      <c r="K102" s="62" t="n">
        <f aca="false">IF(K$5="A",Inputs_Actuals!K171,K88*K22+K91*K25+K94*K28+K97*K31+K100*K34)</f>
        <v>12363.58</v>
      </c>
      <c r="L102" s="62" t="n">
        <f aca="false">IF(L$5="A",Inputs_Actuals!L171,L88*L22+L91*L25+L94*L28+L97*L31+L100*L34)</f>
        <v>12403.55</v>
      </c>
      <c r="M102" s="62" t="n">
        <f aca="false">IF(M$5="A",Inputs_Actuals!M171,M88*M22+M91*M25+M94*M28+M97*M31+M100*M34)</f>
        <v>13415.449453125</v>
      </c>
      <c r="N102" s="62" t="n">
        <f aca="false">IF(N$5="A",Inputs_Actuals!N171,N88*N22+N91*N25+N94*N28+N97*N31+N100*N34)</f>
        <v>14678.819498112</v>
      </c>
      <c r="O102" s="62" t="n">
        <f aca="false">IF(O$5="A",Inputs_Actuals!O171,O88*O22+O91*O25+O94*O28+O97*O31+O100*O34)</f>
        <v>14540.4259310087</v>
      </c>
      <c r="P102" s="62" t="n">
        <f aca="false">IF(P$5="A",Inputs_Actuals!P171,P88*P22+P91*P25+P94*P28+P97*P31+P100*P34)</f>
        <v>14513.1087117561</v>
      </c>
      <c r="Q102" s="62" t="n">
        <f aca="false">IF(Q$5="A",Inputs_Actuals!Q171,Q88*Q22+Q91*Q25+Q94*Q28+Q97*Q31+Q100*Q34)</f>
        <v>15344.0678544706</v>
      </c>
      <c r="R102" s="62" t="n">
        <f aca="false">IF(R$5="A",Inputs_Actuals!R171,R88*R22+R91*R25+R94*R28+R97*R31+R100*R34)</f>
        <v>15346.2762501001</v>
      </c>
      <c r="S102" s="62" t="n">
        <f aca="false">IF(S$5="A",Inputs_Actuals!S171,S88*S22+S91*S25+S94*S28+S97*S31+S100*S34)</f>
        <v>15346.8029447376</v>
      </c>
      <c r="T102" s="62" t="n">
        <f aca="false">IF(T$5="A",Inputs_Actuals!T171,T88*T22+T91*T25+T94*T28+T97*T31+T100*T34)</f>
        <v>16426.679449744</v>
      </c>
      <c r="U102" s="62" t="n">
        <f aca="false">IF(U$5="A",Inputs_Actuals!U171,U88*U22+U91*U25+U94*U28+U97*U31+U100*U34)</f>
        <v>16417.6466981968</v>
      </c>
      <c r="V102" s="62" t="n">
        <f aca="false">IF(V$5="A",Inputs_Actuals!V171,V88*V22+V91*V25+V94*V28+V97*V31+V100*V34)</f>
        <v>16408.7158235799</v>
      </c>
      <c r="W102" s="62" t="n">
        <f aca="false">IF(W$5="A",Inputs_Actuals!W171,W88*W22+W91*W25+W94*W28+W97*W31+W100*W34)</f>
        <v>16399.8660443508</v>
      </c>
      <c r="X102" s="62" t="n">
        <f aca="false">IF(X$5="A",Inputs_Actuals!X171,X88*X22+X91*X25+X94*X28+X97*X31+X100*X34)</f>
        <v>16400.0896687874</v>
      </c>
      <c r="Y102" s="62" t="n">
        <f aca="false">IF(Y$5="A",Inputs_Actuals!Y171,Y88*Y22+Y91*Y25+Y94*Y28+Y97*Y31+Y100*Y34)</f>
        <v>16400.2360162228</v>
      </c>
      <c r="Z102" s="62" t="n">
        <f aca="false">IF(Z$5="A",Inputs_Actuals!Z171,Z88*Z22+Z91*Z25+Z94*Z28+Z97*Z31+Z100*Z34)</f>
        <v>16400.3066848522</v>
      </c>
      <c r="AA102" s="62" t="n">
        <f aca="false">IF(AA$5="A",Inputs_Actuals!AA171,AA88*AA22+AA91*AA25+AA94*AA28+AA97*AA31+AA100*AA34)</f>
        <v>16400.303010072</v>
      </c>
      <c r="AB102" s="62" t="n">
        <f aca="false">IF(AB$5="A",Inputs_Actuals!AB171,AB88*AB22+AB91*AB25+AB94*AB28+AB97*AB31+AB100*AB34)</f>
        <v>16400.3012317327</v>
      </c>
    </row>
    <row r="103" customFormat="false" ht="15" hidden="false" customHeight="false" outlineLevel="0" collapsed="false">
      <c r="A103" s="29" t="s">
        <v>1140</v>
      </c>
      <c r="B103" s="60" t="s">
        <v>1141</v>
      </c>
      <c r="C103" s="61" t="n">
        <f aca="false">SUM(E103:P103)</f>
        <v>157005.532987247</v>
      </c>
      <c r="D103" s="61" t="n">
        <f aca="false">SUM(Q103:AB103)</f>
        <v>190109.684151646</v>
      </c>
      <c r="E103" s="71" t="n">
        <f aca="false">E88*E23+E91*E26+E94*E29+E97*E32+E100*E35</f>
        <v>12400.60625</v>
      </c>
      <c r="F103" s="71" t="n">
        <f aca="false">F88*F23+F91*F26+F94*F29+F97*F32+F100*F35</f>
        <v>12400.60625</v>
      </c>
      <c r="G103" s="71" t="n">
        <f aca="false">G88*G23+G91*G26+G94*G29+G97*G32+G100*G35</f>
        <v>12400.60625</v>
      </c>
      <c r="H103" s="71" t="n">
        <f aca="false">H88*H23+H91*H26+H94*H29+H97*H32+H100*H35</f>
        <v>12400.60625</v>
      </c>
      <c r="I103" s="71" t="n">
        <f aca="false">I88*I23+I91*I26+I94*I29+I97*I32+I100*I35</f>
        <v>13514.66875</v>
      </c>
      <c r="J103" s="71" t="n">
        <f aca="false">J88*J23+J91*J26+J94*J29+J97*J32+J100*J35</f>
        <v>13514.66875</v>
      </c>
      <c r="K103" s="71" t="n">
        <f aca="false">K88*K23+K91*K26+K94*K29+K97*K32+K100*K35</f>
        <v>12154.3333333333</v>
      </c>
      <c r="L103" s="71" t="n">
        <f aca="false">L88*L23+L91*L26+L94*L29+L97*L32+L100*L35</f>
        <v>12154.3333333333</v>
      </c>
      <c r="M103" s="71" t="n">
        <f aca="false">M88*M23+M91*M26+M94*M29+M97*M32+M100*M35</f>
        <v>13160.883671875</v>
      </c>
      <c r="N103" s="71" t="n">
        <f aca="false">N88*N23+N91*N26+N94*N29+N97*N32+N100*N35</f>
        <v>14400.9664156901</v>
      </c>
      <c r="O103" s="71" t="n">
        <f aca="false">O88*O23+O91*O26+O94*O29+O97*O32+O100*O35</f>
        <v>14265.0551779916</v>
      </c>
      <c r="P103" s="71" t="n">
        <f aca="false">P88*P23+P91*P26+P94*P29+P97*P32+P100*P35</f>
        <v>14238.1985550236</v>
      </c>
      <c r="Q103" s="71" t="n">
        <f aca="false">Q88*Q23+Q91*Q26+Q94*Q29+Q97*Q32+Q100*Q35</f>
        <v>15062.4497772647</v>
      </c>
      <c r="R103" s="71" t="n">
        <f aca="false">R88*R23+R91*R26+R94*R29+R97*R32+R100*R35</f>
        <v>15064.6207041751</v>
      </c>
      <c r="S103" s="71" t="n">
        <f aca="false">S88*S23+S91*S26+S94*S29+S97*S32+S100*S35</f>
        <v>15065.1385567363</v>
      </c>
      <c r="T103" s="71" t="n">
        <f aca="false">T88*T23+T91*T26+T94*T29+T97*T32+T100*T35</f>
        <v>16122.1680342756</v>
      </c>
      <c r="U103" s="71" t="n">
        <f aca="false">U88*U23+U91*U26+U94*U29+U97*U32+U100*U35</f>
        <v>16113.3262426423</v>
      </c>
      <c r="V103" s="71" t="n">
        <f aca="false">V88*V23+V91*V26+V94*V29+V97*V32+V100*V35</f>
        <v>16104.5842900552</v>
      </c>
      <c r="W103" s="71" t="n">
        <f aca="false">W88*W23+W91*W26+W94*W29+W97*W32+W100*W35</f>
        <v>16095.9217462631</v>
      </c>
      <c r="X103" s="71" t="n">
        <f aca="false">X88*X23+X91*X26+X94*X29+X97*X32+X100*X35</f>
        <v>16096.1406417141</v>
      </c>
      <c r="Y103" s="71" t="n">
        <f aca="false">Y88*Y23+Y91*Y26+Y94*Y29+Y97*Y32+Y100*Y35</f>
        <v>16096.2838932385</v>
      </c>
      <c r="Z103" s="71" t="n">
        <f aca="false">Z88*Z23+Z91*Z26+Z94*Z29+Z97*Z32+Z100*Z35</f>
        <v>16096.3530667111</v>
      </c>
      <c r="AA103" s="71" t="n">
        <f aca="false">AA88*AA23+AA91*AA26+AA94*AA29+AA97*AA32+AA100*AA35</f>
        <v>16096.3494696449</v>
      </c>
      <c r="AB103" s="71" t="n">
        <f aca="false">AB88*AB23+AB91*AB26+AB94*AB29+AB97*AB32+AB100*AB35</f>
        <v>16096.3477289256</v>
      </c>
    </row>
    <row r="104" customFormat="false" ht="15" hidden="false" customHeight="false" outlineLevel="0" collapsed="false">
      <c r="A104" s="29" t="s">
        <v>1142</v>
      </c>
      <c r="B104" s="60" t="s">
        <v>1143</v>
      </c>
      <c r="C104" s="61" t="n">
        <f aca="false">SUM(E104:P104)</f>
        <v>283905.556267693</v>
      </c>
      <c r="D104" s="61" t="n">
        <f aca="false">SUM(Q104:AB104)</f>
        <v>325360.110106531</v>
      </c>
      <c r="E104" s="62" t="n">
        <f aca="false">E88*E21*Assumptions!$C$70+E91*E24*Assumptions!$C$71+E94*E27*Assumptions!$C$72+E97*E30*Assumptions!$C$73+E100*E33*Assumptions!$C$74</f>
        <v>23118.3333333333</v>
      </c>
      <c r="F104" s="62" t="n">
        <f aca="false">F88*F21*Assumptions!$C$70+F91*F24*Assumptions!$C$71+F94*F27*Assumptions!$C$72+F97*F30*Assumptions!$C$73+F100*F33*Assumptions!$C$74</f>
        <v>23118.3333333333</v>
      </c>
      <c r="G104" s="62" t="n">
        <f aca="false">G88*G21*Assumptions!$C$70+G91*G24*Assumptions!$C$71+G94*G27*Assumptions!$C$72+G97*G30*Assumptions!$C$73+G100*G33*Assumptions!$C$74</f>
        <v>23118.3333333333</v>
      </c>
      <c r="H104" s="62" t="n">
        <f aca="false">H88*H21*Assumptions!$C$70+H91*H24*Assumptions!$C$71+H94*H27*Assumptions!$C$72+H97*H30*Assumptions!$C$73+H100*H33*Assumptions!$C$74</f>
        <v>23118.3333333333</v>
      </c>
      <c r="I104" s="62" t="n">
        <f aca="false">I88*I21*Assumptions!$C$70+I91*I24*Assumptions!$C$71+I94*I27*Assumptions!$C$72+I97*I30*Assumptions!$C$73+I100*I33*Assumptions!$C$74</f>
        <v>24212.0833333333</v>
      </c>
      <c r="J104" s="62" t="n">
        <f aca="false">J88*J21*Assumptions!$C$70+J91*J24*Assumptions!$C$71+J94*J27*Assumptions!$C$72+J97*J30*Assumptions!$C$73+J100*J33*Assumptions!$C$74</f>
        <v>24212.0833333333</v>
      </c>
      <c r="K104" s="62" t="n">
        <f aca="false">K88*K21*Assumptions!$C$70+K91*K24*Assumptions!$C$71+K94*K27*Assumptions!$C$72+K97*K30*Assumptions!$C$73+K100*K33*Assumptions!$C$74</f>
        <v>22482.9166666667</v>
      </c>
      <c r="L104" s="62" t="n">
        <f aca="false">L88*L21*Assumptions!$C$70+L91*L24*Assumptions!$C$71+L94*L27*Assumptions!$C$72+L97*L30*Assumptions!$C$73+L100*L33*Assumptions!$C$74</f>
        <v>22482.9166666667</v>
      </c>
      <c r="M104" s="62" t="n">
        <f aca="false">M88*M21*Assumptions!$C$70+M91*M24*Assumptions!$C$71+M94*M27*Assumptions!$C$72+M97*M30*Assumptions!$C$73+M100*M33*Assumptions!$C$74</f>
        <v>23429.8940972222</v>
      </c>
      <c r="N104" s="62" t="n">
        <f aca="false">N88*N21*Assumptions!$C$70+N91*N24*Assumptions!$C$71+N94*N27*Assumptions!$C$72+N97*N30*Assumptions!$C$73+N100*N33*Assumptions!$C$74</f>
        <v>25000.1178747106</v>
      </c>
      <c r="O104" s="62" t="n">
        <f aca="false">O88*O21*Assumptions!$C$70+O91*O24*Assumptions!$C$71+O94*O27*Assumptions!$C$72+O97*O30*Assumptions!$C$73+O100*O33*Assumptions!$C$74</f>
        <v>24821.2162575653</v>
      </c>
      <c r="P104" s="62" t="n">
        <f aca="false">P88*P21*Assumptions!$C$70+P91*P24*Assumptions!$C$71+P94*P27*Assumptions!$C$72+P97*P30*Assumptions!$C$73+P100*P33*Assumptions!$C$74</f>
        <v>24790.994704861</v>
      </c>
      <c r="Q104" s="62" t="n">
        <f aca="false">Q88*Q21*Assumptions!$C$70+Q91*Q24*Assumptions!$C$71+Q94*Q27*Assumptions!$C$72+Q97*Q30*Assumptions!$C$73+Q100*Q33*Assumptions!$C$74</f>
        <v>25764.2608163308</v>
      </c>
      <c r="R104" s="62" t="n">
        <f aca="false">R88*R21*Assumptions!$C$70+R91*R24*Assumptions!$C$71+R94*R27*Assumptions!$C$72+R97*R30*Assumptions!$C$73+R100*R33*Assumptions!$C$74</f>
        <v>25766.8783068673</v>
      </c>
      <c r="S104" s="62" t="n">
        <f aca="false">S88*S21*Assumptions!$C$70+S91*S24*Assumptions!$C$71+S94*S27*Assumptions!$C$72+S97*S30*Assumptions!$C$73+S100*S33*Assumptions!$C$74</f>
        <v>25767.4814297891</v>
      </c>
      <c r="T104" s="62" t="n">
        <f aca="false">T88*T21*Assumptions!$C$70+T91*T24*Assumptions!$C$71+T94*T27*Assumptions!$C$72+T97*T30*Assumptions!$C$73+T100*T33*Assumptions!$C$74</f>
        <v>27597.3839795722</v>
      </c>
      <c r="U104" s="62" t="n">
        <f aca="false">U88*U21*Assumptions!$C$70+U91*U24*Assumptions!$C$71+U94*U27*Assumptions!$C$72+U97*U30*Assumptions!$C$73+U100*U33*Assumptions!$C$74</f>
        <v>27582.0957221591</v>
      </c>
      <c r="V104" s="62" t="n">
        <f aca="false">V88*V21*Assumptions!$C$70+V91*V24*Assumptions!$C$71+V94*V27*Assumptions!$C$72+V97*V30*Assumptions!$C$73+V100*V33*Assumptions!$C$74</f>
        <v>27566.9655950456</v>
      </c>
      <c r="W104" s="62" t="n">
        <f aca="false">W88*W21*Assumptions!$C$70+W91*W24*Assumptions!$C$71+W94*W27*Assumptions!$C$72+W97*W30*Assumptions!$C$73+W100*W33*Assumptions!$C$74</f>
        <v>27551.9692278998</v>
      </c>
      <c r="X104" s="62" t="n">
        <f aca="false">X88*X21*Assumptions!$C$70+X91*X24*Assumptions!$C$71+X94*X27*Assumptions!$C$72+X97*X30*Assumptions!$C$73+X100*X33*Assumptions!$C$74</f>
        <v>27552.3478891149</v>
      </c>
      <c r="Y104" s="62" t="n">
        <f aca="false">Y88*Y21*Assumptions!$C$70+Y91*Y24*Assumptions!$C$71+Y94*Y27*Assumptions!$C$72+Y97*Y30*Assumptions!$C$73+Y100*Y33*Assumptions!$C$74</f>
        <v>27552.5958347672</v>
      </c>
      <c r="Z104" s="62" t="n">
        <f aca="false">Z88*Z21*Assumptions!$C$70+Z91*Z24*Assumptions!$C$71+Z94*Z27*Assumptions!$C$72+Z97*Z30*Assumptions!$C$73+Z100*Z33*Assumptions!$C$74</f>
        <v>27552.7155878911</v>
      </c>
      <c r="AA104" s="62" t="n">
        <f aca="false">AA88*AA21*Assumptions!$C$70+AA91*AA24*Assumptions!$C$71+AA94*AA27*Assumptions!$C$72+AA97*AA30*Assumptions!$C$73+AA100*AA33*Assumptions!$C$74</f>
        <v>27552.7093650019</v>
      </c>
      <c r="AB104" s="62" t="n">
        <f aca="false">AB88*AB21*Assumptions!$C$70+AB91*AB24*Assumptions!$C$71+AB94*AB27*Assumptions!$C$72+AB97*AB30*Assumptions!$C$73+AB100*AB33*Assumptions!$C$74</f>
        <v>27552.7063520919</v>
      </c>
    </row>
    <row r="105" customFormat="false" ht="15" hidden="false" customHeight="false" outlineLevel="0" collapsed="false">
      <c r="A105" s="29" t="s">
        <v>1144</v>
      </c>
      <c r="B105" s="60" t="s">
        <v>1145</v>
      </c>
      <c r="C105" s="61" t="n">
        <f aca="false">SUM(E105:P105)</f>
        <v>97585.638177451</v>
      </c>
      <c r="D105" s="61" t="n">
        <f aca="false">SUM(Q105:AB105)</f>
        <v>123827.437325737</v>
      </c>
      <c r="E105" s="62" t="n">
        <f aca="false">(E88*E21*Assumptions!$E$64+E91*E24*Assumptions!$E$65+E94*E27*Assumptions!$E$66+E97*E30*Assumptions!$E$67+E100*E33*Assumptions!$E$68)*E20</f>
        <v>7487.08333333333</v>
      </c>
      <c r="F105" s="62" t="n">
        <f aca="false">(F88*F21*Assumptions!$E$64+F91*F24*Assumptions!$E$65+F94*F27*Assumptions!$E$66+F97*F30*Assumptions!$E$67+F100*F33*Assumptions!$E$68)*F20</f>
        <v>7487.08333333333</v>
      </c>
      <c r="G105" s="62" t="n">
        <f aca="false">(G88*G21*Assumptions!$E$64+G91*G24*Assumptions!$E$65+G94*G27*Assumptions!$E$66+G97*G30*Assumptions!$E$67+G100*G33*Assumptions!$E$68)*G20</f>
        <v>7487.08333333333</v>
      </c>
      <c r="H105" s="62" t="n">
        <f aca="false">(H88*H21*Assumptions!$E$64+H91*H24*Assumptions!$E$65+H94*H27*Assumptions!$E$66+H97*H30*Assumptions!$E$67+H100*H33*Assumptions!$E$68)*H20</f>
        <v>7487.08333333333</v>
      </c>
      <c r="I105" s="62" t="n">
        <f aca="false">(I88*I21*Assumptions!$E$64+I91*I24*Assumptions!$E$65+I94*I27*Assumptions!$E$66+I97*I30*Assumptions!$E$67+I100*I33*Assumptions!$E$68)*I20</f>
        <v>7705.83333333333</v>
      </c>
      <c r="J105" s="62" t="n">
        <f aca="false">(J88*J21*Assumptions!$E$64+J91*J24*Assumptions!$E$65+J94*J27*Assumptions!$E$66+J97*J30*Assumptions!$E$67+J100*J33*Assumptions!$E$68)*J20</f>
        <v>7705.83333333333</v>
      </c>
      <c r="K105" s="62" t="n">
        <f aca="false">(K88*K21*Assumptions!$E$64+K91*K24*Assumptions!$E$65+K94*K27*Assumptions!$E$66+K97*K30*Assumptions!$E$67+K100*K33*Assumptions!$E$68)*K20</f>
        <v>7318.5</v>
      </c>
      <c r="L105" s="62" t="n">
        <f aca="false">(L88*L21*Assumptions!$E$64+L91*L24*Assumptions!$E$65+L94*L27*Assumptions!$E$66+L97*L30*Assumptions!$E$67+L100*L33*Assumptions!$E$68)*L20</f>
        <v>7318.5</v>
      </c>
      <c r="M105" s="62" t="n">
        <f aca="false">(M88*M21*Assumptions!$E$64+M91*M24*Assumptions!$E$65+M94*M27*Assumptions!$E$66+M97*M30*Assumptions!$E$67+M100*M33*Assumptions!$E$68)*M20</f>
        <v>9108.05989583333</v>
      </c>
      <c r="N105" s="62" t="n">
        <f aca="false">(N88*N21*Assumptions!$E$64+N91*N24*Assumptions!$E$65+N94*N27*Assumptions!$E$66+N97*N30*Assumptions!$E$67+N100*N33*Assumptions!$E$68)*N20</f>
        <v>9531.18956380208</v>
      </c>
      <c r="O105" s="62" t="n">
        <f aca="false">(O88*O21*Assumptions!$E$64+O91*O24*Assumptions!$E$65+O94*O27*Assumptions!$E$66+O97*O30*Assumptions!$E$67+O100*O33*Assumptions!$E$68)*O20</f>
        <v>9478.57537466544</v>
      </c>
      <c r="P105" s="62" t="n">
        <f aca="false">(P88*P21*Assumptions!$E$64+P91*P24*Assumptions!$E$65+P94*P27*Assumptions!$E$66+P97*P30*Assumptions!$E$67+P100*P33*Assumptions!$E$68)*P20</f>
        <v>9470.81334315016</v>
      </c>
      <c r="Q105" s="62" t="n">
        <f aca="false">(Q88*Q21*Assumptions!$E$64+Q91*Q24*Assumptions!$E$65+Q94*Q27*Assumptions!$E$66+Q97*Q30*Assumptions!$E$67+Q100*Q33*Assumptions!$E$68)*Q20</f>
        <v>9844.68080472022</v>
      </c>
      <c r="R105" s="62" t="n">
        <f aca="false">(R88*R21*Assumptions!$E$64+R91*R24*Assumptions!$E$65+R94*R27*Assumptions!$E$66+R97*R30*Assumptions!$E$67+R100*R33*Assumptions!$E$68)*R20</f>
        <v>9845.40633806305</v>
      </c>
      <c r="S105" s="62" t="n">
        <f aca="false">(S88*S21*Assumptions!$E$64+S91*S24*Assumptions!$E$65+S94*S27*Assumptions!$E$66+S97*S30*Assumptions!$E$67+S100*S33*Assumptions!$E$68)*S20</f>
        <v>9845.56504253492</v>
      </c>
      <c r="T105" s="62" t="n">
        <f aca="false">(T88*T21*Assumptions!$E$64+T91*T24*Assumptions!$E$65+T94*T27*Assumptions!$E$66+T97*T30*Assumptions!$E$67+T100*T33*Assumptions!$E$68)*T20</f>
        <v>10489.1703922026</v>
      </c>
      <c r="U105" s="62" t="n">
        <f aca="false">(U88*U21*Assumptions!$E$64+U91*U24*Assumptions!$E$65+U94*U27*Assumptions!$E$66+U97*U30*Assumptions!$E$67+U100*U33*Assumptions!$E$68)*U20</f>
        <v>10483.7964643545</v>
      </c>
      <c r="V105" s="62" t="n">
        <f aca="false">(V88*V21*Assumptions!$E$64+V91*V24*Assumptions!$E$65+V94*V27*Assumptions!$E$66+V97*V30*Assumptions!$E$67+V100*V33*Assumptions!$E$68)*V20</f>
        <v>10478.4756532283</v>
      </c>
      <c r="W105" s="62" t="n">
        <f aca="false">(W88*W21*Assumptions!$E$64+W91*W24*Assumptions!$E$65+W94*W27*Assumptions!$E$66+W97*W30*Assumptions!$E$67+W100*W33*Assumptions!$E$68)*W20</f>
        <v>10473.2012111512</v>
      </c>
      <c r="X105" s="62" t="n">
        <f aca="false">(X88*X21*Assumptions!$E$64+X91*X24*Assumptions!$E$65+X94*X27*Assumptions!$E$66+X97*X30*Assumptions!$E$67+X100*X33*Assumptions!$E$68)*X20</f>
        <v>10473.3343418194</v>
      </c>
      <c r="Y105" s="62" t="n">
        <f aca="false">(Y88*Y21*Assumptions!$E$64+Y91*Y24*Assumptions!$E$65+Y94*Y27*Assumptions!$E$66+Y97*Y30*Assumptions!$E$67+Y100*Y33*Assumptions!$E$68)*Y20</f>
        <v>10473.4215389407</v>
      </c>
      <c r="Z105" s="62" t="n">
        <f aca="false">(Z88*Z21*Assumptions!$E$64+Z91*Z24*Assumptions!$E$65+Z94*Z27*Assumptions!$E$66+Z97*Z30*Assumptions!$E$67+Z100*Z33*Assumptions!$E$68)*Z20</f>
        <v>10473.463658041</v>
      </c>
      <c r="AA105" s="62" t="n">
        <f aca="false">(AA88*AA21*Assumptions!$E$64+AA91*AA24*Assumptions!$E$65+AA94*AA27*Assumptions!$E$66+AA97*AA30*Assumptions!$E$67+AA100*AA33*Assumptions!$E$68)*AA20</f>
        <v>10473.4614701251</v>
      </c>
      <c r="AB105" s="62" t="n">
        <f aca="false">(AB88*AB21*Assumptions!$E$64+AB91*AB24*Assumptions!$E$65+AB94*AB27*Assumptions!$E$66+AB97*AB30*Assumptions!$E$67+AB100*AB33*Assumptions!$E$68)*AB20</f>
        <v>10473.4604105556</v>
      </c>
    </row>
    <row r="106" customFormat="false" ht="15" hidden="false" customHeight="false" outlineLevel="0" collapsed="false">
      <c r="A106" s="29" t="s">
        <v>1146</v>
      </c>
      <c r="B106" s="60" t="s">
        <v>1147</v>
      </c>
      <c r="C106" s="61" t="n">
        <f aca="false">SUM(E106:P106)</f>
        <v>3365.96812720037</v>
      </c>
      <c r="D106" s="61" t="n">
        <f aca="false">SUM(Q106:AB106)</f>
        <v>4671.69728533185</v>
      </c>
      <c r="E106" s="62" t="n">
        <f aca="false">(E88*E21*Assumptions!$E$64*Assumptions!$C$78+E91*E24*Assumptions!$E$65*Assumptions!$C$79+E94*E27*Assumptions!$E$66*Assumptions!$C$80+E97*E30*Assumptions!$E$67*Assumptions!$C$81+E100*E33*Assumptions!$E$68*Assumptions!$C$82)*E20</f>
        <v>224.8204</v>
      </c>
      <c r="F106" s="62" t="n">
        <f aca="false">(F88*F21*Assumptions!$E$64*Assumptions!$C$78+F91*F24*Assumptions!$E$65*Assumptions!$C$79+F94*F27*Assumptions!$E$66*Assumptions!$C$80+F97*F30*Assumptions!$E$67*Assumptions!$C$81+F100*F33*Assumptions!$E$68*Assumptions!$C$82)*F20</f>
        <v>224.8204</v>
      </c>
      <c r="G106" s="62" t="n">
        <f aca="false">(G88*G21*Assumptions!$E$64*Assumptions!$C$78+G91*G24*Assumptions!$E$65*Assumptions!$C$79+G94*G27*Assumptions!$E$66*Assumptions!$C$80+G97*G30*Assumptions!$E$67*Assumptions!$C$81+G100*G33*Assumptions!$E$68*Assumptions!$C$82)*G20</f>
        <v>224.8204</v>
      </c>
      <c r="H106" s="62" t="n">
        <f aca="false">(H88*H21*Assumptions!$E$64*Assumptions!$C$78+H91*H24*Assumptions!$E$65*Assumptions!$C$79+H94*H27*Assumptions!$E$66*Assumptions!$C$80+H97*H30*Assumptions!$E$67*Assumptions!$C$81+H100*H33*Assumptions!$E$68*Assumptions!$C$82)*H20</f>
        <v>224.8204</v>
      </c>
      <c r="I106" s="62" t="n">
        <f aca="false">(I88*I21*Assumptions!$E$64*Assumptions!$C$78+I91*I24*Assumptions!$E$65*Assumptions!$C$79+I94*I27*Assumptions!$E$66*Assumptions!$C$80+I97*I30*Assumptions!$E$67*Assumptions!$C$81+I100*I33*Assumptions!$E$68*Assumptions!$C$82)*I20</f>
        <v>272.3329</v>
      </c>
      <c r="J106" s="62" t="n">
        <f aca="false">(J88*J21*Assumptions!$E$64*Assumptions!$C$78+J91*J24*Assumptions!$E$65*Assumptions!$C$79+J94*J27*Assumptions!$E$66*Assumptions!$C$80+J97*J30*Assumptions!$E$67*Assumptions!$C$81+J100*J33*Assumptions!$E$68*Assumptions!$C$82)*J20</f>
        <v>272.3329</v>
      </c>
      <c r="K106" s="62" t="n">
        <f aca="false">(K88*K21*Assumptions!$E$64*Assumptions!$C$78+K91*K24*Assumptions!$E$65*Assumptions!$C$79+K94*K27*Assumptions!$E$66*Assumptions!$C$80+K97*K30*Assumptions!$E$67*Assumptions!$C$81+K100*K33*Assumptions!$E$68*Assumptions!$C$82)*K20</f>
        <v>229.067766666667</v>
      </c>
      <c r="L106" s="62" t="n">
        <f aca="false">(L88*L21*Assumptions!$E$64*Assumptions!$C$78+L91*L24*Assumptions!$E$65*Assumptions!$C$79+L94*L27*Assumptions!$E$66*Assumptions!$C$80+L97*L30*Assumptions!$E$67*Assumptions!$C$81+L100*L33*Assumptions!$E$68*Assumptions!$C$82)*L20</f>
        <v>229.067766666667</v>
      </c>
      <c r="M106" s="62" t="n">
        <f aca="false">(M88*M21*Assumptions!$E$64*Assumptions!$C$78+M91*M24*Assumptions!$E$65*Assumptions!$C$79+M94*M27*Assumptions!$E$66*Assumptions!$C$80+M97*M30*Assumptions!$E$67*Assumptions!$C$81+M100*M33*Assumptions!$E$68*Assumptions!$C$82)*M20</f>
        <v>332.370545208333</v>
      </c>
      <c r="N106" s="62" t="n">
        <f aca="false">(N88*N21*Assumptions!$E$64*Assumptions!$C$78+N91*N24*Assumptions!$E$65*Assumptions!$C$79+N94*N27*Assumptions!$E$66*Assumptions!$C$80+N97*N30*Assumptions!$E$67*Assumptions!$C$81+N100*N33*Assumptions!$E$68*Assumptions!$C$82)*N20</f>
        <v>380.752146726563</v>
      </c>
      <c r="O106" s="62" t="n">
        <f aca="false">(O88*O21*Assumptions!$E$64*Assumptions!$C$78+O91*O24*Assumptions!$E$65*Assumptions!$C$79+O94*O27*Assumptions!$E$66*Assumptions!$C$80+O97*O30*Assumptions!$E$67*Assumptions!$C$81+O100*O33*Assumptions!$E$68*Assumptions!$C$82)*O20</f>
        <v>375.99274489248</v>
      </c>
      <c r="P106" s="62" t="n">
        <f aca="false">(P88*P21*Assumptions!$E$64*Assumptions!$C$78+P91*P24*Assumptions!$E$65*Assumptions!$C$79+P94*P27*Assumptions!$E$66*Assumptions!$C$80+P97*P30*Assumptions!$E$67*Assumptions!$C$81+P100*P33*Assumptions!$E$68*Assumptions!$C$82)*P20</f>
        <v>374.769757039658</v>
      </c>
      <c r="Q106" s="62" t="n">
        <f aca="false">(Q88*Q21*Assumptions!$E$64*Assumptions!$C$78+Q91*Q24*Assumptions!$E$65*Assumptions!$C$79+Q94*Q27*Assumptions!$E$66*Assumptions!$C$80+Q97*Q30*Assumptions!$E$67*Assumptions!$C$81+Q100*Q33*Assumptions!$E$68*Assumptions!$C$82)*Q20</f>
        <v>389.209357567437</v>
      </c>
      <c r="R106" s="62" t="n">
        <f aca="false">(R88*R21*Assumptions!$E$64*Assumptions!$C$78+R91*R24*Assumptions!$E$65*Assumptions!$C$79+R94*R27*Assumptions!$E$66*Assumptions!$C$80+R97*R30*Assumptions!$E$67*Assumptions!$C$81+R100*R33*Assumptions!$E$68*Assumptions!$C$82)*R20</f>
        <v>389.294018505289</v>
      </c>
      <c r="S106" s="62" t="n">
        <f aca="false">(S88*S21*Assumptions!$E$64*Assumptions!$C$78+S91*S24*Assumptions!$E$65*Assumptions!$C$79+S94*S27*Assumptions!$E$66*Assumptions!$C$80+S97*S30*Assumptions!$E$67*Assumptions!$C$81+S100*S33*Assumptions!$E$68*Assumptions!$C$82)*S20</f>
        <v>389.315748957575</v>
      </c>
      <c r="T106" s="62" t="n">
        <f aca="false">(T88*T21*Assumptions!$E$64*Assumptions!$C$78+T91*T24*Assumptions!$E$65*Assumptions!$C$79+T94*T27*Assumptions!$E$66*Assumptions!$C$80+T97*T30*Assumptions!$E$67*Assumptions!$C$81+T100*T33*Assumptions!$E$68*Assumptions!$C$82)*T20</f>
        <v>389.321308937121</v>
      </c>
      <c r="U106" s="62" t="n">
        <f aca="false">(U88*U21*Assumptions!$E$64*Assumptions!$C$78+U91*U24*Assumptions!$E$65*Assumptions!$C$79+U94*U27*Assumptions!$E$66*Assumptions!$C$80+U97*U30*Assumptions!$E$67*Assumptions!$C$81+U100*U33*Assumptions!$E$68*Assumptions!$C$82)*U20</f>
        <v>389.319909545</v>
      </c>
      <c r="V106" s="62" t="n">
        <f aca="false">(V88*V21*Assumptions!$E$64*Assumptions!$C$78+V91*V24*Assumptions!$E$65*Assumptions!$C$79+V94*V27*Assumptions!$E$66*Assumptions!$C$80+V97*V30*Assumptions!$E$67*Assumptions!$C$81+V100*V33*Assumptions!$E$68*Assumptions!$C$82)*V20</f>
        <v>389.319585907004</v>
      </c>
      <c r="W106" s="62" t="n">
        <f aca="false">(W88*W21*Assumptions!$E$64*Assumptions!$C$78+W91*W24*Assumptions!$E$65*Assumptions!$C$79+W94*W27*Assumptions!$E$66*Assumptions!$C$80+W97*W30*Assumptions!$E$67*Assumptions!$C$81+W100*W33*Assumptions!$E$68*Assumptions!$C$82)*W20</f>
        <v>389.319537945136</v>
      </c>
      <c r="X106" s="62" t="n">
        <f aca="false">(X88*X21*Assumptions!$E$64*Assumptions!$C$78+X91*X24*Assumptions!$E$65*Assumptions!$C$79+X94*X27*Assumptions!$E$66*Assumptions!$C$80+X97*X30*Assumptions!$E$67*Assumptions!$C$81+X100*X33*Assumptions!$E$68*Assumptions!$C$82)*X20</f>
        <v>389.319560082536</v>
      </c>
      <c r="Y106" s="62" t="n">
        <f aca="false">(Y88*Y21*Assumptions!$E$64*Assumptions!$C$78+Y91*Y24*Assumptions!$E$65*Assumptions!$C$79+Y94*Y27*Assumptions!$E$66*Assumptions!$C$80+Y97*Y30*Assumptions!$E$67*Assumptions!$C$81+Y100*Y33*Assumptions!$E$68*Assumptions!$C$82)*Y20</f>
        <v>389.319564450817</v>
      </c>
      <c r="Z106" s="62" t="n">
        <f aca="false">(Z88*Z21*Assumptions!$E$64*Assumptions!$C$78+Z91*Z24*Assumptions!$E$65*Assumptions!$C$79+Z94*Z27*Assumptions!$E$66*Assumptions!$C$80+Z97*Z30*Assumptions!$E$67*Assumptions!$C$81+Z100*Z33*Assumptions!$E$68*Assumptions!$C$82)*Z20</f>
        <v>389.319564719019</v>
      </c>
      <c r="AA106" s="62" t="n">
        <f aca="false">(AA88*AA21*Assumptions!$E$64*Assumptions!$C$78+AA91*AA24*Assumptions!$E$65*Assumptions!$C$79+AA94*AA27*Assumptions!$E$66*Assumptions!$C$80+AA97*AA30*Assumptions!$E$67*Assumptions!$C$81+AA100*AA33*Assumptions!$E$68*Assumptions!$C$82)*AA20</f>
        <v>389.319564384345</v>
      </c>
      <c r="AB106" s="62" t="n">
        <f aca="false">(AB88*AB21*Assumptions!$E$64*Assumptions!$C$78+AB91*AB24*Assumptions!$E$65*Assumptions!$C$79+AB94*AB27*Assumptions!$E$66*Assumptions!$C$80+AB97*AB30*Assumptions!$E$67*Assumptions!$C$81+AB100*AB33*Assumptions!$E$68*Assumptions!$C$82)*AB20</f>
        <v>389.319564330573</v>
      </c>
    </row>
    <row r="107" customFormat="false" ht="15" hidden="false" customHeight="false" outlineLevel="0" collapsed="false">
      <c r="A107" s="68" t="s">
        <v>1148</v>
      </c>
      <c r="B107" s="69" t="s">
        <v>1149</v>
      </c>
      <c r="C107" s="70" t="n">
        <f aca="false">SUM(E107:P107)</f>
        <v>1150679.27541543</v>
      </c>
      <c r="D107" s="70" t="n">
        <f aca="false">SUM(Q107:AB107)</f>
        <v>1346182.16895735</v>
      </c>
      <c r="E107" s="70" t="n">
        <f aca="false">E101+E102</f>
        <v>92277.04</v>
      </c>
      <c r="F107" s="70" t="n">
        <f aca="false">F101+F102</f>
        <v>92637.81</v>
      </c>
      <c r="G107" s="70" t="n">
        <f aca="false">G101+G102</f>
        <v>92183.41</v>
      </c>
      <c r="H107" s="70" t="n">
        <f aca="false">H101+H102</f>
        <v>91872.08</v>
      </c>
      <c r="I107" s="70" t="n">
        <f aca="false">I101+I102</f>
        <v>98325.66</v>
      </c>
      <c r="J107" s="70" t="n">
        <f aca="false">J101+J102</f>
        <v>98660.41</v>
      </c>
      <c r="K107" s="70" t="n">
        <f aca="false">K101+K102</f>
        <v>90137.48</v>
      </c>
      <c r="L107" s="70" t="n">
        <f aca="false">L101+L102</f>
        <v>90128.14</v>
      </c>
      <c r="M107" s="70" t="n">
        <f aca="false">M101+M102</f>
        <v>95922.2202864583</v>
      </c>
      <c r="N107" s="70" t="n">
        <f aca="false">N101+N102</f>
        <v>103466.709399732</v>
      </c>
      <c r="O107" s="70" t="n">
        <f aca="false">O101+O102</f>
        <v>102613.173516729</v>
      </c>
      <c r="P107" s="70" t="n">
        <f aca="false">P101+P102</f>
        <v>102455.142212509</v>
      </c>
      <c r="Q107" s="70" t="n">
        <f aca="false">Q101+Q102</f>
        <v>106730.906237919</v>
      </c>
      <c r="R107" s="70" t="n">
        <f aca="false">R101+R102</f>
        <v>106743.942357627</v>
      </c>
      <c r="S107" s="70" t="n">
        <f aca="false">S101+S102</f>
        <v>106746.988213722</v>
      </c>
      <c r="T107" s="70" t="n">
        <f aca="false">T101+T102</f>
        <v>114136.963713494</v>
      </c>
      <c r="U107" s="70" t="n">
        <f aca="false">U101+U102</f>
        <v>114075.183443325</v>
      </c>
      <c r="V107" s="70" t="n">
        <f aca="false">V101+V102</f>
        <v>114014.073474314</v>
      </c>
      <c r="W107" s="70" t="n">
        <f aca="false">W101+W102</f>
        <v>113953.511406285</v>
      </c>
      <c r="X107" s="70" t="n">
        <f aca="false">X101+X102</f>
        <v>113955.041213883</v>
      </c>
      <c r="Y107" s="70" t="n">
        <f aca="false">Y101+Y102</f>
        <v>113956.042627078</v>
      </c>
      <c r="Z107" s="70" t="n">
        <f aca="false">Z101+Z102</f>
        <v>113956.526239272</v>
      </c>
      <c r="AA107" s="70" t="n">
        <f aca="false">AA101+AA102</f>
        <v>113956.501099533</v>
      </c>
      <c r="AB107" s="70" t="n">
        <f aca="false">AB101+AB102</f>
        <v>113956.488930902</v>
      </c>
    </row>
    <row r="108" customFormat="false" ht="15" hidden="false" customHeight="false" outlineLevel="0" collapsed="false">
      <c r="A108" s="29" t="s">
        <v>1150</v>
      </c>
      <c r="B108" s="60"/>
      <c r="C108" s="66" t="n">
        <f aca="false">P108</f>
        <v>10.6937041974103</v>
      </c>
      <c r="D108" s="66" t="n">
        <f aca="false">AB108</f>
        <v>11.3200084101888</v>
      </c>
      <c r="E108" s="72" t="n">
        <f aca="false">E88+E91+E94+E97+E100</f>
        <v>9</v>
      </c>
      <c r="F108" s="72" t="n">
        <f aca="false">F88+F91+F94+F97+F100</f>
        <v>9</v>
      </c>
      <c r="G108" s="72" t="n">
        <f aca="false">G88+G91+G94+G97+G100</f>
        <v>9</v>
      </c>
      <c r="H108" s="72" t="n">
        <f aca="false">H88+H91+H94+H97+H100</f>
        <v>9</v>
      </c>
      <c r="I108" s="72" t="n">
        <f aca="false">I88+I91+I94+I97+I100</f>
        <v>10</v>
      </c>
      <c r="J108" s="72" t="n">
        <f aca="false">J88+J91+J94+J97+J100</f>
        <v>10</v>
      </c>
      <c r="K108" s="72" t="n">
        <f aca="false">K88+K91+K94+K97+K100</f>
        <v>9</v>
      </c>
      <c r="L108" s="72" t="n">
        <f aca="false">L88+L91+L94+L97+L100</f>
        <v>9</v>
      </c>
      <c r="M108" s="72" t="n">
        <f aca="false">M88+M91+M94+M97+M100</f>
        <v>9.91666666666667</v>
      </c>
      <c r="N108" s="72" t="n">
        <f aca="false">N88+N91+N94+N97+N100</f>
        <v>10.8217708333333</v>
      </c>
      <c r="O108" s="72" t="n">
        <f aca="false">O88+O91+O94+O97+O100</f>
        <v>10.7154577546296</v>
      </c>
      <c r="P108" s="72" t="n">
        <f aca="false">P88+P91+P94+P97+P100</f>
        <v>10.6937041974103</v>
      </c>
      <c r="Q108" s="72" t="n">
        <f aca="false">Q88+Q91+Q94+Q97+Q100</f>
        <v>10.6837872135618</v>
      </c>
      <c r="R108" s="72" t="n">
        <f aca="false">R88+R91+R94+R97+R100</f>
        <v>10.6854128517593</v>
      </c>
      <c r="S108" s="72" t="n">
        <f aca="false">S88+S91+S94+S97+S100</f>
        <v>10.6857926671559</v>
      </c>
      <c r="T108" s="72" t="n">
        <f aca="false">T88+T91+T94+T97+T100</f>
        <v>11.3358936296151</v>
      </c>
      <c r="U108" s="72" t="n">
        <f aca="false">U88+U91+U94+U97+U100</f>
        <v>11.3304512712261</v>
      </c>
      <c r="V108" s="72" t="n">
        <f aca="false">V88+V91+V94+V97+V100</f>
        <v>11.325074002765</v>
      </c>
      <c r="W108" s="72" t="n">
        <f aca="false">W88+W91+W94+W97+W100</f>
        <v>11.3197463487701</v>
      </c>
      <c r="X108" s="72" t="n">
        <f aca="false">X88+X91+X94+X97+X100</f>
        <v>11.3198810399238</v>
      </c>
      <c r="Y108" s="72" t="n">
        <f aca="false">Y88+Y91+Y94+Y97+Y100</f>
        <v>11.3199691517401</v>
      </c>
      <c r="Z108" s="72" t="n">
        <f aca="false">Z88+Z91+Z94+Z97+Z100</f>
        <v>11.3200116940599</v>
      </c>
      <c r="AA108" s="72" t="n">
        <f aca="false">AA88+AA91+AA94+AA97+AA100</f>
        <v>11.3200094808605</v>
      </c>
      <c r="AB108" s="72" t="n">
        <f aca="false">AB88+AB91+AB94+AB97+AB100</f>
        <v>11.3200084101888</v>
      </c>
    </row>
    <row r="109" customFormat="false" ht="15" hidden="false" customHeight="false" outlineLevel="0" collapsed="false">
      <c r="A109" s="23" t="s">
        <v>1153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row>
    <row r="110" customFormat="false" ht="15" hidden="false" customHeight="false" outlineLevel="0" collapsed="false">
      <c r="A110" s="29" t="s">
        <v>1154</v>
      </c>
      <c r="B110" s="60" t="s">
        <v>1155</v>
      </c>
      <c r="C110" s="105" t="n">
        <v>21667</v>
      </c>
      <c r="D110" s="117" t="n">
        <v>42094</v>
      </c>
      <c r="E110" s="62" t="n">
        <f aca="false">IF(Assumptions!E$186&gt;=$D$110,$C$110*Assumptions!E$193,0)</f>
        <v>21667</v>
      </c>
      <c r="F110" s="62" t="n">
        <f aca="false">IF(Assumptions!F$186&gt;=$D$110,$C$110*Assumptions!F$193,0)</f>
        <v>21667</v>
      </c>
      <c r="G110" s="62" t="n">
        <f aca="false">IF(Assumptions!G$186&gt;=$D$110,$C$110*Assumptions!G$193,0)</f>
        <v>21667</v>
      </c>
      <c r="H110" s="62" t="n">
        <f aca="false">IF(Assumptions!H$186&gt;=$D$110,$C$110*Assumptions!H$193,0)</f>
        <v>21667</v>
      </c>
      <c r="I110" s="62" t="n">
        <f aca="false">IF(Assumptions!I$186&gt;=$D$110,$C$110*Assumptions!I$193,0)</f>
        <v>21667</v>
      </c>
      <c r="J110" s="62" t="n">
        <f aca="false">IF(Assumptions!J$186&gt;=$D$110,$C$110*Assumptions!J$193,0)</f>
        <v>21667</v>
      </c>
      <c r="K110" s="62" t="n">
        <f aca="false">IF(Assumptions!K$186&gt;=$D$110,$C$110*Assumptions!K$193,0)</f>
        <v>21667</v>
      </c>
      <c r="L110" s="62" t="n">
        <f aca="false">IF(Assumptions!L$186&gt;=$D$110,$C$110*Assumptions!L$193,0)</f>
        <v>21667</v>
      </c>
      <c r="M110" s="62" t="n">
        <f aca="false">IF(Assumptions!M$186&gt;=$D$110,$C$110*Assumptions!M$193,0)</f>
        <v>21667</v>
      </c>
      <c r="N110" s="62" t="n">
        <f aca="false">IF(Assumptions!N$186&gt;=$D$110,$C$110*Assumptions!N$193,0)</f>
        <v>21667</v>
      </c>
      <c r="O110" s="62" t="n">
        <f aca="false">IF(Assumptions!O$186&gt;=$D$110,$C$110*Assumptions!O$193,0)</f>
        <v>21667</v>
      </c>
      <c r="P110" s="62" t="n">
        <f aca="false">IF(Assumptions!P$186&gt;=$D$110,$C$110*Assumptions!P$193,0)</f>
        <v>21667</v>
      </c>
      <c r="Q110" s="62" t="n">
        <f aca="false">IF(Assumptions!Q$186&gt;=$D$110,$C$110*Assumptions!Q$193,0)</f>
        <v>22533.68</v>
      </c>
      <c r="R110" s="62" t="n">
        <f aca="false">IF(Assumptions!R$186&gt;=$D$110,$C$110*Assumptions!R$193,0)</f>
        <v>22533.68</v>
      </c>
      <c r="S110" s="62" t="n">
        <f aca="false">IF(Assumptions!S$186&gt;=$D$110,$C$110*Assumptions!S$193,0)</f>
        <v>22533.68</v>
      </c>
      <c r="T110" s="62" t="n">
        <f aca="false">IF(Assumptions!T$186&gt;=$D$110,$C$110*Assumptions!T$193,0)</f>
        <v>22533.68</v>
      </c>
      <c r="U110" s="62" t="n">
        <f aca="false">IF(Assumptions!U$186&gt;=$D$110,$C$110*Assumptions!U$193,0)</f>
        <v>22533.68</v>
      </c>
      <c r="V110" s="62" t="n">
        <f aca="false">IF(Assumptions!V$186&gt;=$D$110,$C$110*Assumptions!V$193,0)</f>
        <v>22533.68</v>
      </c>
      <c r="W110" s="62" t="n">
        <f aca="false">IF(Assumptions!W$186&gt;=$D$110,$C$110*Assumptions!W$193,0)</f>
        <v>22533.68</v>
      </c>
      <c r="X110" s="62" t="n">
        <f aca="false">IF(Assumptions!X$186&gt;=$D$110,$C$110*Assumptions!X$193,0)</f>
        <v>22533.68</v>
      </c>
      <c r="Y110" s="62" t="n">
        <f aca="false">IF(Assumptions!Y$186&gt;=$D$110,$C$110*Assumptions!Y$193,0)</f>
        <v>22533.68</v>
      </c>
      <c r="Z110" s="62" t="n">
        <f aca="false">IF(Assumptions!Z$186&gt;=$D$110,$C$110*Assumptions!Z$193,0)</f>
        <v>22533.68</v>
      </c>
      <c r="AA110" s="62" t="n">
        <f aca="false">IF(Assumptions!AA$186&gt;=$D$110,$C$110*Assumptions!AA$193,0)</f>
        <v>22533.68</v>
      </c>
      <c r="AB110" s="62" t="n">
        <f aca="false">IF(Assumptions!AB$186&gt;=$D$110,$C$110*Assumptions!AB$193,0)</f>
        <v>22533.68</v>
      </c>
    </row>
    <row r="111" customFormat="false" ht="15" hidden="false" customHeight="false" outlineLevel="0" collapsed="false">
      <c r="A111" s="29" t="s">
        <v>277</v>
      </c>
      <c r="B111" s="60" t="s">
        <v>1155</v>
      </c>
      <c r="C111" s="105" t="n">
        <v>7917</v>
      </c>
      <c r="D111" s="117" t="n">
        <v>43646</v>
      </c>
      <c r="E111" s="62" t="n">
        <f aca="false">IF(Assumptions!E$186&gt;=$D$111,$C$111*Assumptions!E$193,0)</f>
        <v>7917</v>
      </c>
      <c r="F111" s="62" t="n">
        <f aca="false">IF(Assumptions!F$186&gt;=$D$111,$C$111*Assumptions!F$193,0)</f>
        <v>7917</v>
      </c>
      <c r="G111" s="62" t="n">
        <f aca="false">IF(Assumptions!G$186&gt;=$D$111,$C$111*Assumptions!G$193,0)</f>
        <v>7917</v>
      </c>
      <c r="H111" s="62" t="n">
        <f aca="false">IF(Assumptions!H$186&gt;=$D$111,$C$111*Assumptions!H$193,0)</f>
        <v>7917</v>
      </c>
      <c r="I111" s="62" t="n">
        <f aca="false">IF(Assumptions!I$186&gt;=$D$111,$C$111*Assumptions!I$193,0)</f>
        <v>7917</v>
      </c>
      <c r="J111" s="62" t="n">
        <f aca="false">IF(Assumptions!J$186&gt;=$D$111,$C$111*Assumptions!J$193,0)</f>
        <v>7917</v>
      </c>
      <c r="K111" s="62" t="n">
        <f aca="false">IF(Assumptions!K$186&gt;=$D$111,$C$111*Assumptions!K$193,0)</f>
        <v>7917</v>
      </c>
      <c r="L111" s="62" t="n">
        <f aca="false">IF(Assumptions!L$186&gt;=$D$111,$C$111*Assumptions!L$193,0)</f>
        <v>7917</v>
      </c>
      <c r="M111" s="62" t="n">
        <f aca="false">IF(Assumptions!M$186&gt;=$D$111,$C$111*Assumptions!M$193,0)</f>
        <v>7917</v>
      </c>
      <c r="N111" s="62" t="n">
        <f aca="false">IF(Assumptions!N$186&gt;=$D$111,$C$111*Assumptions!N$193,0)</f>
        <v>7917</v>
      </c>
      <c r="O111" s="62" t="n">
        <f aca="false">IF(Assumptions!O$186&gt;=$D$111,$C$111*Assumptions!O$193,0)</f>
        <v>7917</v>
      </c>
      <c r="P111" s="62" t="n">
        <f aca="false">IF(Assumptions!P$186&gt;=$D$111,$C$111*Assumptions!P$193,0)</f>
        <v>7917</v>
      </c>
      <c r="Q111" s="62" t="n">
        <f aca="false">IF(Assumptions!Q$186&gt;=$D$111,$C$111*Assumptions!Q$193,0)</f>
        <v>8233.68</v>
      </c>
      <c r="R111" s="62" t="n">
        <f aca="false">IF(Assumptions!R$186&gt;=$D$111,$C$111*Assumptions!R$193,0)</f>
        <v>8233.68</v>
      </c>
      <c r="S111" s="62" t="n">
        <f aca="false">IF(Assumptions!S$186&gt;=$D$111,$C$111*Assumptions!S$193,0)</f>
        <v>8233.68</v>
      </c>
      <c r="T111" s="62" t="n">
        <f aca="false">IF(Assumptions!T$186&gt;=$D$111,$C$111*Assumptions!T$193,0)</f>
        <v>8233.68</v>
      </c>
      <c r="U111" s="62" t="n">
        <f aca="false">IF(Assumptions!U$186&gt;=$D$111,$C$111*Assumptions!U$193,0)</f>
        <v>8233.68</v>
      </c>
      <c r="V111" s="62" t="n">
        <f aca="false">IF(Assumptions!V$186&gt;=$D$111,$C$111*Assumptions!V$193,0)</f>
        <v>8233.68</v>
      </c>
      <c r="W111" s="62" t="n">
        <f aca="false">IF(Assumptions!W$186&gt;=$D$111,$C$111*Assumptions!W$193,0)</f>
        <v>8233.68</v>
      </c>
      <c r="X111" s="62" t="n">
        <f aca="false">IF(Assumptions!X$186&gt;=$D$111,$C$111*Assumptions!X$193,0)</f>
        <v>8233.68</v>
      </c>
      <c r="Y111" s="62" t="n">
        <f aca="false">IF(Assumptions!Y$186&gt;=$D$111,$C$111*Assumptions!Y$193,0)</f>
        <v>8233.68</v>
      </c>
      <c r="Z111" s="62" t="n">
        <f aca="false">IF(Assumptions!Z$186&gt;=$D$111,$C$111*Assumptions!Z$193,0)</f>
        <v>8233.68</v>
      </c>
      <c r="AA111" s="62" t="n">
        <f aca="false">IF(Assumptions!AA$186&gt;=$D$111,$C$111*Assumptions!AA$193,0)</f>
        <v>8233.68</v>
      </c>
      <c r="AB111" s="62" t="n">
        <f aca="false">IF(Assumptions!AB$186&gt;=$D$111,$C$111*Assumptions!AB$193,0)</f>
        <v>8233.68</v>
      </c>
    </row>
    <row r="112" customFormat="false" ht="15" hidden="false" customHeight="false" outlineLevel="0" collapsed="false">
      <c r="A112" s="29" t="s">
        <v>1156</v>
      </c>
      <c r="B112" s="60" t="s">
        <v>1155</v>
      </c>
      <c r="C112" s="105" t="n">
        <v>4750</v>
      </c>
      <c r="D112" s="117" t="n">
        <v>44255</v>
      </c>
      <c r="E112" s="62" t="n">
        <f aca="false">IF(Assumptions!E$186&gt;=$D$112,$C$112*Assumptions!E$193,0)</f>
        <v>4750</v>
      </c>
      <c r="F112" s="62" t="n">
        <f aca="false">IF(Assumptions!F$186&gt;=$D$112,$C$112*Assumptions!F$193,0)</f>
        <v>4750</v>
      </c>
      <c r="G112" s="62" t="n">
        <f aca="false">IF(Assumptions!G$186&gt;=$D$112,$C$112*Assumptions!G$193,0)</f>
        <v>4750</v>
      </c>
      <c r="H112" s="62" t="n">
        <f aca="false">IF(Assumptions!H$186&gt;=$D$112,$C$112*Assumptions!H$193,0)</f>
        <v>4750</v>
      </c>
      <c r="I112" s="62" t="n">
        <f aca="false">IF(Assumptions!I$186&gt;=$D$112,$C$112*Assumptions!I$193,0)</f>
        <v>4750</v>
      </c>
      <c r="J112" s="62" t="n">
        <f aca="false">IF(Assumptions!J$186&gt;=$D$112,$C$112*Assumptions!J$193,0)</f>
        <v>4750</v>
      </c>
      <c r="K112" s="62" t="n">
        <f aca="false">IF(Assumptions!K$186&gt;=$D$112,$C$112*Assumptions!K$193,0)</f>
        <v>4750</v>
      </c>
      <c r="L112" s="62" t="n">
        <f aca="false">IF(Assumptions!L$186&gt;=$D$112,$C$112*Assumptions!L$193,0)</f>
        <v>4750</v>
      </c>
      <c r="M112" s="62" t="n">
        <f aca="false">IF(Assumptions!M$186&gt;=$D$112,$C$112*Assumptions!M$193,0)</f>
        <v>4750</v>
      </c>
      <c r="N112" s="62" t="n">
        <f aca="false">IF(Assumptions!N$186&gt;=$D$112,$C$112*Assumptions!N$193,0)</f>
        <v>4750</v>
      </c>
      <c r="O112" s="62" t="n">
        <f aca="false">IF(Assumptions!O$186&gt;=$D$112,$C$112*Assumptions!O$193,0)</f>
        <v>4750</v>
      </c>
      <c r="P112" s="62" t="n">
        <f aca="false">IF(Assumptions!P$186&gt;=$D$112,$C$112*Assumptions!P$193,0)</f>
        <v>4750</v>
      </c>
      <c r="Q112" s="62" t="n">
        <f aca="false">IF(Assumptions!Q$186&gt;=$D$112,$C$112*Assumptions!Q$193,0)</f>
        <v>4940</v>
      </c>
      <c r="R112" s="62" t="n">
        <f aca="false">IF(Assumptions!R$186&gt;=$D$112,$C$112*Assumptions!R$193,0)</f>
        <v>4940</v>
      </c>
      <c r="S112" s="62" t="n">
        <f aca="false">IF(Assumptions!S$186&gt;=$D$112,$C$112*Assumptions!S$193,0)</f>
        <v>4940</v>
      </c>
      <c r="T112" s="62" t="n">
        <f aca="false">IF(Assumptions!T$186&gt;=$D$112,$C$112*Assumptions!T$193,0)</f>
        <v>4940</v>
      </c>
      <c r="U112" s="62" t="n">
        <f aca="false">IF(Assumptions!U$186&gt;=$D$112,$C$112*Assumptions!U$193,0)</f>
        <v>4940</v>
      </c>
      <c r="V112" s="62" t="n">
        <f aca="false">IF(Assumptions!V$186&gt;=$D$112,$C$112*Assumptions!V$193,0)</f>
        <v>4940</v>
      </c>
      <c r="W112" s="62" t="n">
        <f aca="false">IF(Assumptions!W$186&gt;=$D$112,$C$112*Assumptions!W$193,0)</f>
        <v>4940</v>
      </c>
      <c r="X112" s="62" t="n">
        <f aca="false">IF(Assumptions!X$186&gt;=$D$112,$C$112*Assumptions!X$193,0)</f>
        <v>4940</v>
      </c>
      <c r="Y112" s="62" t="n">
        <f aca="false">IF(Assumptions!Y$186&gt;=$D$112,$C$112*Assumptions!Y$193,0)</f>
        <v>4940</v>
      </c>
      <c r="Z112" s="62" t="n">
        <f aca="false">IF(Assumptions!Z$186&gt;=$D$112,$C$112*Assumptions!Z$193,0)</f>
        <v>4940</v>
      </c>
      <c r="AA112" s="62" t="n">
        <f aca="false">IF(Assumptions!AA$186&gt;=$D$112,$C$112*Assumptions!AA$193,0)</f>
        <v>4940</v>
      </c>
      <c r="AB112" s="62" t="n">
        <f aca="false">IF(Assumptions!AB$186&gt;=$D$112,$C$112*Assumptions!AB$193,0)</f>
        <v>4940</v>
      </c>
    </row>
    <row r="113" customFormat="false" ht="15" hidden="false" customHeight="false" outlineLevel="0" collapsed="false">
      <c r="A113" s="29" t="s">
        <v>289</v>
      </c>
      <c r="B113" s="60" t="s">
        <v>1155</v>
      </c>
      <c r="C113" s="105" t="n">
        <v>5500</v>
      </c>
      <c r="D113" s="117" t="n">
        <v>44104</v>
      </c>
      <c r="E113" s="62" t="n">
        <f aca="false">IF(Assumptions!E$186&gt;=$D$113,$C$113*Assumptions!E$193,0)</f>
        <v>5500</v>
      </c>
      <c r="F113" s="62" t="n">
        <f aca="false">IF(Assumptions!F$186&gt;=$D$113,$C$113*Assumptions!F$193,0)</f>
        <v>5500</v>
      </c>
      <c r="G113" s="62" t="n">
        <f aca="false">IF(Assumptions!G$186&gt;=$D$113,$C$113*Assumptions!G$193,0)</f>
        <v>5500</v>
      </c>
      <c r="H113" s="62" t="n">
        <f aca="false">IF(Assumptions!H$186&gt;=$D$113,$C$113*Assumptions!H$193,0)</f>
        <v>5500</v>
      </c>
      <c r="I113" s="62" t="n">
        <f aca="false">IF(Assumptions!I$186&gt;=$D$113,$C$113*Assumptions!I$193,0)</f>
        <v>5500</v>
      </c>
      <c r="J113" s="62" t="n">
        <f aca="false">IF(Assumptions!J$186&gt;=$D$113,$C$113*Assumptions!J$193,0)</f>
        <v>5500</v>
      </c>
      <c r="K113" s="62" t="n">
        <f aca="false">IF(Assumptions!K$186&gt;=$D$113,$C$113*Assumptions!K$193,0)</f>
        <v>5500</v>
      </c>
      <c r="L113" s="62" t="n">
        <f aca="false">IF(Assumptions!L$186&gt;=$D$113,$C$113*Assumptions!L$193,0)</f>
        <v>5500</v>
      </c>
      <c r="M113" s="62" t="n">
        <f aca="false">IF(Assumptions!M$186&gt;=$D$113,$C$113*Assumptions!M$193,0)</f>
        <v>5500</v>
      </c>
      <c r="N113" s="62" t="n">
        <f aca="false">IF(Assumptions!N$186&gt;=$D$113,$C$113*Assumptions!N$193,0)</f>
        <v>5500</v>
      </c>
      <c r="O113" s="62" t="n">
        <f aca="false">IF(Assumptions!O$186&gt;=$D$113,$C$113*Assumptions!O$193,0)</f>
        <v>5500</v>
      </c>
      <c r="P113" s="62" t="n">
        <f aca="false">IF(Assumptions!P$186&gt;=$D$113,$C$113*Assumptions!P$193,0)</f>
        <v>5500</v>
      </c>
      <c r="Q113" s="62" t="n">
        <f aca="false">IF(Assumptions!Q$186&gt;=$D$113,$C$113*Assumptions!Q$193,0)</f>
        <v>5720</v>
      </c>
      <c r="R113" s="62" t="n">
        <f aca="false">IF(Assumptions!R$186&gt;=$D$113,$C$113*Assumptions!R$193,0)</f>
        <v>5720</v>
      </c>
      <c r="S113" s="62" t="n">
        <f aca="false">IF(Assumptions!S$186&gt;=$D$113,$C$113*Assumptions!S$193,0)</f>
        <v>5720</v>
      </c>
      <c r="T113" s="62" t="n">
        <f aca="false">IF(Assumptions!T$186&gt;=$D$113,$C$113*Assumptions!T$193,0)</f>
        <v>5720</v>
      </c>
      <c r="U113" s="62" t="n">
        <f aca="false">IF(Assumptions!U$186&gt;=$D$113,$C$113*Assumptions!U$193,0)</f>
        <v>5720</v>
      </c>
      <c r="V113" s="62" t="n">
        <f aca="false">IF(Assumptions!V$186&gt;=$D$113,$C$113*Assumptions!V$193,0)</f>
        <v>5720</v>
      </c>
      <c r="W113" s="62" t="n">
        <f aca="false">IF(Assumptions!W$186&gt;=$D$113,$C$113*Assumptions!W$193,0)</f>
        <v>5720</v>
      </c>
      <c r="X113" s="62" t="n">
        <f aca="false">IF(Assumptions!X$186&gt;=$D$113,$C$113*Assumptions!X$193,0)</f>
        <v>5720</v>
      </c>
      <c r="Y113" s="62" t="n">
        <f aca="false">IF(Assumptions!Y$186&gt;=$D$113,$C$113*Assumptions!Y$193,0)</f>
        <v>5720</v>
      </c>
      <c r="Z113" s="62" t="n">
        <f aca="false">IF(Assumptions!Z$186&gt;=$D$113,$C$113*Assumptions!Z$193,0)</f>
        <v>5720</v>
      </c>
      <c r="AA113" s="62" t="n">
        <f aca="false">IF(Assumptions!AA$186&gt;=$D$113,$C$113*Assumptions!AA$193,0)</f>
        <v>5720</v>
      </c>
      <c r="AB113" s="62" t="n">
        <f aca="false">IF(Assumptions!AB$186&gt;=$D$113,$C$113*Assumptions!AB$193,0)</f>
        <v>5720</v>
      </c>
    </row>
    <row r="114" customFormat="false" ht="15" hidden="false" customHeight="false" outlineLevel="0" collapsed="false">
      <c r="A114" s="29" t="s">
        <v>1157</v>
      </c>
      <c r="B114" s="60" t="s">
        <v>1155</v>
      </c>
      <c r="C114" s="105" t="n">
        <v>4000</v>
      </c>
      <c r="D114" s="117" t="n">
        <v>45046</v>
      </c>
      <c r="E114" s="62" t="n">
        <f aca="false">IF(Assumptions!E$186&gt;=$D$114,$C$114*Assumptions!E$193,0)</f>
        <v>4000</v>
      </c>
      <c r="F114" s="62" t="n">
        <f aca="false">IF(Assumptions!F$186&gt;=$D$114,$C$114*Assumptions!F$193,0)</f>
        <v>4000</v>
      </c>
      <c r="G114" s="62" t="n">
        <f aca="false">IF(Assumptions!G$186&gt;=$D$114,$C$114*Assumptions!G$193,0)</f>
        <v>4000</v>
      </c>
      <c r="H114" s="62" t="n">
        <f aca="false">IF(Assumptions!H$186&gt;=$D$114,$C$114*Assumptions!H$193,0)</f>
        <v>4000</v>
      </c>
      <c r="I114" s="62" t="n">
        <f aca="false">IF(Assumptions!I$186&gt;=$D$114,$C$114*Assumptions!I$193,0)</f>
        <v>4000</v>
      </c>
      <c r="J114" s="62" t="n">
        <f aca="false">IF(Assumptions!J$186&gt;=$D$114,$C$114*Assumptions!J$193,0)</f>
        <v>4000</v>
      </c>
      <c r="K114" s="62" t="n">
        <f aca="false">IF(Assumptions!K$186&gt;=$D$114,$C$114*Assumptions!K$193,0)</f>
        <v>4000</v>
      </c>
      <c r="L114" s="62" t="n">
        <f aca="false">IF(Assumptions!L$186&gt;=$D$114,$C$114*Assumptions!L$193,0)</f>
        <v>4000</v>
      </c>
      <c r="M114" s="62" t="n">
        <f aca="false">IF(Assumptions!M$186&gt;=$D$114,$C$114*Assumptions!M$193,0)</f>
        <v>4000</v>
      </c>
      <c r="N114" s="62" t="n">
        <f aca="false">IF(Assumptions!N$186&gt;=$D$114,$C$114*Assumptions!N$193,0)</f>
        <v>4000</v>
      </c>
      <c r="O114" s="62" t="n">
        <f aca="false">IF(Assumptions!O$186&gt;=$D$114,$C$114*Assumptions!O$193,0)</f>
        <v>4000</v>
      </c>
      <c r="P114" s="62" t="n">
        <f aca="false">IF(Assumptions!P$186&gt;=$D$114,$C$114*Assumptions!P$193,0)</f>
        <v>4000</v>
      </c>
      <c r="Q114" s="62" t="n">
        <f aca="false">IF(Assumptions!Q$186&gt;=$D$114,$C$114*Assumptions!Q$193,0)</f>
        <v>4160</v>
      </c>
      <c r="R114" s="62" t="n">
        <f aca="false">IF(Assumptions!R$186&gt;=$D$114,$C$114*Assumptions!R$193,0)</f>
        <v>4160</v>
      </c>
      <c r="S114" s="62" t="n">
        <f aca="false">IF(Assumptions!S$186&gt;=$D$114,$C$114*Assumptions!S$193,0)</f>
        <v>4160</v>
      </c>
      <c r="T114" s="62" t="n">
        <f aca="false">IF(Assumptions!T$186&gt;=$D$114,$C$114*Assumptions!T$193,0)</f>
        <v>4160</v>
      </c>
      <c r="U114" s="62" t="n">
        <f aca="false">IF(Assumptions!U$186&gt;=$D$114,$C$114*Assumptions!U$193,0)</f>
        <v>4160</v>
      </c>
      <c r="V114" s="62" t="n">
        <f aca="false">IF(Assumptions!V$186&gt;=$D$114,$C$114*Assumptions!V$193,0)</f>
        <v>4160</v>
      </c>
      <c r="W114" s="62" t="n">
        <f aca="false">IF(Assumptions!W$186&gt;=$D$114,$C$114*Assumptions!W$193,0)</f>
        <v>4160</v>
      </c>
      <c r="X114" s="62" t="n">
        <f aca="false">IF(Assumptions!X$186&gt;=$D$114,$C$114*Assumptions!X$193,0)</f>
        <v>4160</v>
      </c>
      <c r="Y114" s="62" t="n">
        <f aca="false">IF(Assumptions!Y$186&gt;=$D$114,$C$114*Assumptions!Y$193,0)</f>
        <v>4160</v>
      </c>
      <c r="Z114" s="62" t="n">
        <f aca="false">IF(Assumptions!Z$186&gt;=$D$114,$C$114*Assumptions!Z$193,0)</f>
        <v>4160</v>
      </c>
      <c r="AA114" s="62" t="n">
        <f aca="false">IF(Assumptions!AA$186&gt;=$D$114,$C$114*Assumptions!AA$193,0)</f>
        <v>4160</v>
      </c>
      <c r="AB114" s="62" t="n">
        <f aca="false">IF(Assumptions!AB$186&gt;=$D$114,$C$114*Assumptions!AB$193,0)</f>
        <v>4160</v>
      </c>
    </row>
    <row r="115" customFormat="false" ht="15" hidden="false" customHeight="false" outlineLevel="0" collapsed="false">
      <c r="A115" s="29" t="s">
        <v>1158</v>
      </c>
      <c r="B115" s="60" t="s">
        <v>1155</v>
      </c>
      <c r="C115" s="105" t="n">
        <v>5000</v>
      </c>
      <c r="D115" s="117" t="n">
        <v>44592</v>
      </c>
      <c r="E115" s="62" t="n">
        <f aca="false">IF(Assumptions!E$186&gt;=$D$115,$C$115*Assumptions!E$193,0)</f>
        <v>5000</v>
      </c>
      <c r="F115" s="62" t="n">
        <f aca="false">IF(Assumptions!F$186&gt;=$D$115,$C$115*Assumptions!F$193,0)</f>
        <v>5000</v>
      </c>
      <c r="G115" s="62" t="n">
        <f aca="false">IF(Assumptions!G$186&gt;=$D$115,$C$115*Assumptions!G$193,0)</f>
        <v>5000</v>
      </c>
      <c r="H115" s="62" t="n">
        <f aca="false">IF(Assumptions!H$186&gt;=$D$115,$C$115*Assumptions!H$193,0)</f>
        <v>5000</v>
      </c>
      <c r="I115" s="62" t="n">
        <f aca="false">IF(Assumptions!I$186&gt;=$D$115,$C$115*Assumptions!I$193,0)</f>
        <v>5000</v>
      </c>
      <c r="J115" s="62" t="n">
        <f aca="false">IF(Assumptions!J$186&gt;=$D$115,$C$115*Assumptions!J$193,0)</f>
        <v>5000</v>
      </c>
      <c r="K115" s="62" t="n">
        <f aca="false">IF(Assumptions!K$186&gt;=$D$115,$C$115*Assumptions!K$193,0)</f>
        <v>5000</v>
      </c>
      <c r="L115" s="62" t="n">
        <f aca="false">IF(Assumptions!L$186&gt;=$D$115,$C$115*Assumptions!L$193,0)</f>
        <v>5000</v>
      </c>
      <c r="M115" s="62" t="n">
        <f aca="false">IF(Assumptions!M$186&gt;=$D$115,$C$115*Assumptions!M$193,0)</f>
        <v>5000</v>
      </c>
      <c r="N115" s="62" t="n">
        <f aca="false">IF(Assumptions!N$186&gt;=$D$115,$C$115*Assumptions!N$193,0)</f>
        <v>5000</v>
      </c>
      <c r="O115" s="62" t="n">
        <f aca="false">IF(Assumptions!O$186&gt;=$D$115,$C$115*Assumptions!O$193,0)</f>
        <v>5000</v>
      </c>
      <c r="P115" s="62" t="n">
        <f aca="false">IF(Assumptions!P$186&gt;=$D$115,$C$115*Assumptions!P$193,0)</f>
        <v>5000</v>
      </c>
      <c r="Q115" s="62" t="n">
        <f aca="false">IF(Assumptions!Q$186&gt;=$D$115,$C$115*Assumptions!Q$193,0)</f>
        <v>5200</v>
      </c>
      <c r="R115" s="62" t="n">
        <f aca="false">IF(Assumptions!R$186&gt;=$D$115,$C$115*Assumptions!R$193,0)</f>
        <v>5200</v>
      </c>
      <c r="S115" s="62" t="n">
        <f aca="false">IF(Assumptions!S$186&gt;=$D$115,$C$115*Assumptions!S$193,0)</f>
        <v>5200</v>
      </c>
      <c r="T115" s="62" t="n">
        <f aca="false">IF(Assumptions!T$186&gt;=$D$115,$C$115*Assumptions!T$193,0)</f>
        <v>5200</v>
      </c>
      <c r="U115" s="62" t="n">
        <f aca="false">IF(Assumptions!U$186&gt;=$D$115,$C$115*Assumptions!U$193,0)</f>
        <v>5200</v>
      </c>
      <c r="V115" s="62" t="n">
        <f aca="false">IF(Assumptions!V$186&gt;=$D$115,$C$115*Assumptions!V$193,0)</f>
        <v>5200</v>
      </c>
      <c r="W115" s="62" t="n">
        <f aca="false">IF(Assumptions!W$186&gt;=$D$115,$C$115*Assumptions!W$193,0)</f>
        <v>5200</v>
      </c>
      <c r="X115" s="62" t="n">
        <f aca="false">IF(Assumptions!X$186&gt;=$D$115,$C$115*Assumptions!X$193,0)</f>
        <v>5200</v>
      </c>
      <c r="Y115" s="62" t="n">
        <f aca="false">IF(Assumptions!Y$186&gt;=$D$115,$C$115*Assumptions!Y$193,0)</f>
        <v>5200</v>
      </c>
      <c r="Z115" s="62" t="n">
        <f aca="false">IF(Assumptions!Z$186&gt;=$D$115,$C$115*Assumptions!Z$193,0)</f>
        <v>5200</v>
      </c>
      <c r="AA115" s="62" t="n">
        <f aca="false">IF(Assumptions!AA$186&gt;=$D$115,$C$115*Assumptions!AA$193,0)</f>
        <v>5200</v>
      </c>
      <c r="AB115" s="62" t="n">
        <f aca="false">IF(Assumptions!AB$186&gt;=$D$115,$C$115*Assumptions!AB$193,0)</f>
        <v>5200</v>
      </c>
    </row>
    <row r="116" customFormat="false" ht="15" hidden="false" customHeight="false" outlineLevel="0" collapsed="false">
      <c r="A116" s="29" t="s">
        <v>1159</v>
      </c>
      <c r="B116" s="60" t="s">
        <v>1155</v>
      </c>
      <c r="C116" s="105" t="n">
        <v>4917</v>
      </c>
      <c r="D116" s="117" t="n">
        <v>44500</v>
      </c>
      <c r="E116" s="62" t="n">
        <f aca="false">IF(Assumptions!E$186&gt;=$D$116,$C$116*Assumptions!E$193,0)</f>
        <v>4917</v>
      </c>
      <c r="F116" s="62" t="n">
        <f aca="false">IF(Assumptions!F$186&gt;=$D$116,$C$116*Assumptions!F$193,0)</f>
        <v>4917</v>
      </c>
      <c r="G116" s="62" t="n">
        <f aca="false">IF(Assumptions!G$186&gt;=$D$116,$C$116*Assumptions!G$193,0)</f>
        <v>4917</v>
      </c>
      <c r="H116" s="62" t="n">
        <f aca="false">IF(Assumptions!H$186&gt;=$D$116,$C$116*Assumptions!H$193,0)</f>
        <v>4917</v>
      </c>
      <c r="I116" s="62" t="n">
        <f aca="false">IF(Assumptions!I$186&gt;=$D$116,$C$116*Assumptions!I$193,0)</f>
        <v>4917</v>
      </c>
      <c r="J116" s="62" t="n">
        <f aca="false">IF(Assumptions!J$186&gt;=$D$116,$C$116*Assumptions!J$193,0)</f>
        <v>4917</v>
      </c>
      <c r="K116" s="62" t="n">
        <f aca="false">IF(Assumptions!K$186&gt;=$D$116,$C$116*Assumptions!K$193,0)</f>
        <v>4917</v>
      </c>
      <c r="L116" s="62" t="n">
        <f aca="false">IF(Assumptions!L$186&gt;=$D$116,$C$116*Assumptions!L$193,0)</f>
        <v>4917</v>
      </c>
      <c r="M116" s="62" t="n">
        <f aca="false">IF(Assumptions!M$186&gt;=$D$116,$C$116*Assumptions!M$193,0)</f>
        <v>4917</v>
      </c>
      <c r="N116" s="62" t="n">
        <f aca="false">IF(Assumptions!N$186&gt;=$D$116,$C$116*Assumptions!N$193,0)</f>
        <v>4917</v>
      </c>
      <c r="O116" s="62" t="n">
        <f aca="false">IF(Assumptions!O$186&gt;=$D$116,$C$116*Assumptions!O$193,0)</f>
        <v>4917</v>
      </c>
      <c r="P116" s="62" t="n">
        <f aca="false">IF(Assumptions!P$186&gt;=$D$116,$C$116*Assumptions!P$193,0)</f>
        <v>4917</v>
      </c>
      <c r="Q116" s="62" t="n">
        <f aca="false">IF(Assumptions!Q$186&gt;=$D$116,$C$116*Assumptions!Q$193,0)</f>
        <v>5113.68</v>
      </c>
      <c r="R116" s="62" t="n">
        <f aca="false">IF(Assumptions!R$186&gt;=$D$116,$C$116*Assumptions!R$193,0)</f>
        <v>5113.68</v>
      </c>
      <c r="S116" s="62" t="n">
        <f aca="false">IF(Assumptions!S$186&gt;=$D$116,$C$116*Assumptions!S$193,0)</f>
        <v>5113.68</v>
      </c>
      <c r="T116" s="62" t="n">
        <f aca="false">IF(Assumptions!T$186&gt;=$D$116,$C$116*Assumptions!T$193,0)</f>
        <v>5113.68</v>
      </c>
      <c r="U116" s="62" t="n">
        <f aca="false">IF(Assumptions!U$186&gt;=$D$116,$C$116*Assumptions!U$193,0)</f>
        <v>5113.68</v>
      </c>
      <c r="V116" s="62" t="n">
        <f aca="false">IF(Assumptions!V$186&gt;=$D$116,$C$116*Assumptions!V$193,0)</f>
        <v>5113.68</v>
      </c>
      <c r="W116" s="62" t="n">
        <f aca="false">IF(Assumptions!W$186&gt;=$D$116,$C$116*Assumptions!W$193,0)</f>
        <v>5113.68</v>
      </c>
      <c r="X116" s="62" t="n">
        <f aca="false">IF(Assumptions!X$186&gt;=$D$116,$C$116*Assumptions!X$193,0)</f>
        <v>5113.68</v>
      </c>
      <c r="Y116" s="62" t="n">
        <f aca="false">IF(Assumptions!Y$186&gt;=$D$116,$C$116*Assumptions!Y$193,0)</f>
        <v>5113.68</v>
      </c>
      <c r="Z116" s="62" t="n">
        <f aca="false">IF(Assumptions!Z$186&gt;=$D$116,$C$116*Assumptions!Z$193,0)</f>
        <v>5113.68</v>
      </c>
      <c r="AA116" s="62" t="n">
        <f aca="false">IF(Assumptions!AA$186&gt;=$D$116,$C$116*Assumptions!AA$193,0)</f>
        <v>5113.68</v>
      </c>
      <c r="AB116" s="62" t="n">
        <f aca="false">IF(Assumptions!AB$186&gt;=$D$116,$C$116*Assumptions!AB$193,0)</f>
        <v>5113.68</v>
      </c>
    </row>
    <row r="117" customFormat="false" ht="15" hidden="false" customHeight="false" outlineLevel="0" collapsed="false">
      <c r="A117" s="29" t="s">
        <v>1160</v>
      </c>
      <c r="B117" s="60" t="s">
        <v>1155</v>
      </c>
      <c r="C117" s="105" t="n">
        <v>4167</v>
      </c>
      <c r="D117" s="117" t="n">
        <v>43251</v>
      </c>
      <c r="E117" s="62" t="n">
        <f aca="false">IF(Assumptions!E$186&gt;=$D$117,$C$117*Assumptions!E$193,0)</f>
        <v>4167</v>
      </c>
      <c r="F117" s="62" t="n">
        <f aca="false">IF(Assumptions!F$186&gt;=$D$117,$C$117*Assumptions!F$193,0)</f>
        <v>4167</v>
      </c>
      <c r="G117" s="62" t="n">
        <f aca="false">IF(Assumptions!G$186&gt;=$D$117,$C$117*Assumptions!G$193,0)</f>
        <v>4167</v>
      </c>
      <c r="H117" s="62" t="n">
        <f aca="false">IF(Assumptions!H$186&gt;=$D$117,$C$117*Assumptions!H$193,0)</f>
        <v>4167</v>
      </c>
      <c r="I117" s="62" t="n">
        <f aca="false">IF(Assumptions!I$186&gt;=$D$117,$C$117*Assumptions!I$193,0)</f>
        <v>4167</v>
      </c>
      <c r="J117" s="62" t="n">
        <f aca="false">IF(Assumptions!J$186&gt;=$D$117,$C$117*Assumptions!J$193,0)</f>
        <v>4167</v>
      </c>
      <c r="K117" s="62" t="n">
        <f aca="false">IF(Assumptions!K$186&gt;=$D$117,$C$117*Assumptions!K$193,0)</f>
        <v>4167</v>
      </c>
      <c r="L117" s="62" t="n">
        <f aca="false">IF(Assumptions!L$186&gt;=$D$117,$C$117*Assumptions!L$193,0)</f>
        <v>4167</v>
      </c>
      <c r="M117" s="62" t="n">
        <f aca="false">IF(Assumptions!M$186&gt;=$D$117,$C$117*Assumptions!M$193,0)</f>
        <v>4167</v>
      </c>
      <c r="N117" s="62" t="n">
        <f aca="false">IF(Assumptions!N$186&gt;=$D$117,$C$117*Assumptions!N$193,0)</f>
        <v>4167</v>
      </c>
      <c r="O117" s="62" t="n">
        <f aca="false">IF(Assumptions!O$186&gt;=$D$117,$C$117*Assumptions!O$193,0)</f>
        <v>4167</v>
      </c>
      <c r="P117" s="62" t="n">
        <f aca="false">IF(Assumptions!P$186&gt;=$D$117,$C$117*Assumptions!P$193,0)</f>
        <v>4167</v>
      </c>
      <c r="Q117" s="62" t="n">
        <f aca="false">IF(Assumptions!Q$186&gt;=$D$117,$C$117*Assumptions!Q$193,0)</f>
        <v>4333.68</v>
      </c>
      <c r="R117" s="62" t="n">
        <f aca="false">IF(Assumptions!R$186&gt;=$D$117,$C$117*Assumptions!R$193,0)</f>
        <v>4333.68</v>
      </c>
      <c r="S117" s="62" t="n">
        <f aca="false">IF(Assumptions!S$186&gt;=$D$117,$C$117*Assumptions!S$193,0)</f>
        <v>4333.68</v>
      </c>
      <c r="T117" s="62" t="n">
        <f aca="false">IF(Assumptions!T$186&gt;=$D$117,$C$117*Assumptions!T$193,0)</f>
        <v>4333.68</v>
      </c>
      <c r="U117" s="62" t="n">
        <f aca="false">IF(Assumptions!U$186&gt;=$D$117,$C$117*Assumptions!U$193,0)</f>
        <v>4333.68</v>
      </c>
      <c r="V117" s="62" t="n">
        <f aca="false">IF(Assumptions!V$186&gt;=$D$117,$C$117*Assumptions!V$193,0)</f>
        <v>4333.68</v>
      </c>
      <c r="W117" s="62" t="n">
        <f aca="false">IF(Assumptions!W$186&gt;=$D$117,$C$117*Assumptions!W$193,0)</f>
        <v>4333.68</v>
      </c>
      <c r="X117" s="62" t="n">
        <f aca="false">IF(Assumptions!X$186&gt;=$D$117,$C$117*Assumptions!X$193,0)</f>
        <v>4333.68</v>
      </c>
      <c r="Y117" s="62" t="n">
        <f aca="false">IF(Assumptions!Y$186&gt;=$D$117,$C$117*Assumptions!Y$193,0)</f>
        <v>4333.68</v>
      </c>
      <c r="Z117" s="62" t="n">
        <f aca="false">IF(Assumptions!Z$186&gt;=$D$117,$C$117*Assumptions!Z$193,0)</f>
        <v>4333.68</v>
      </c>
      <c r="AA117" s="62" t="n">
        <f aca="false">IF(Assumptions!AA$186&gt;=$D$117,$C$117*Assumptions!AA$193,0)</f>
        <v>4333.68</v>
      </c>
      <c r="AB117" s="62" t="n">
        <f aca="false">IF(Assumptions!AB$186&gt;=$D$117,$C$117*Assumptions!AB$193,0)</f>
        <v>4333.68</v>
      </c>
    </row>
    <row r="118" customFormat="false" ht="15" hidden="false" customHeight="false" outlineLevel="0" collapsed="false">
      <c r="A118" s="29" t="s">
        <v>1161</v>
      </c>
      <c r="B118" s="60" t="s">
        <v>1162</v>
      </c>
      <c r="C118" s="61" t="n">
        <f aca="false">SUM(E118:P118)</f>
        <v>0</v>
      </c>
      <c r="D118" s="61" t="n">
        <f aca="false">SUM(Q118:AB118)</f>
        <v>0</v>
      </c>
      <c r="E118" s="71" t="n">
        <f aca="false">0</f>
        <v>0</v>
      </c>
      <c r="F118" s="71" t="n">
        <f aca="false">0</f>
        <v>0</v>
      </c>
      <c r="G118" s="71" t="n">
        <f aca="false">0</f>
        <v>0</v>
      </c>
      <c r="H118" s="71" t="n">
        <f aca="false">0</f>
        <v>0</v>
      </c>
      <c r="I118" s="71" t="n">
        <f aca="false">0</f>
        <v>0</v>
      </c>
      <c r="J118" s="71" t="n">
        <f aca="false">0</f>
        <v>0</v>
      </c>
      <c r="K118" s="71" t="n">
        <f aca="false">0</f>
        <v>0</v>
      </c>
      <c r="L118" s="71" t="n">
        <f aca="false">0</f>
        <v>0</v>
      </c>
      <c r="M118" s="71" t="n">
        <f aca="false">0</f>
        <v>0</v>
      </c>
      <c r="N118" s="71" t="n">
        <f aca="false">0</f>
        <v>0</v>
      </c>
      <c r="O118" s="71" t="n">
        <f aca="false">0</f>
        <v>0</v>
      </c>
      <c r="P118" s="71" t="n">
        <f aca="false">0</f>
        <v>0</v>
      </c>
      <c r="Q118" s="71" t="n">
        <f aca="false">0</f>
        <v>0</v>
      </c>
      <c r="R118" s="71" t="n">
        <f aca="false">0</f>
        <v>0</v>
      </c>
      <c r="S118" s="71" t="n">
        <f aca="false">0</f>
        <v>0</v>
      </c>
      <c r="T118" s="71" t="n">
        <f aca="false">0</f>
        <v>0</v>
      </c>
      <c r="U118" s="71" t="n">
        <f aca="false">0</f>
        <v>0</v>
      </c>
      <c r="V118" s="71" t="n">
        <f aca="false">0</f>
        <v>0</v>
      </c>
      <c r="W118" s="71" t="n">
        <f aca="false">0</f>
        <v>0</v>
      </c>
      <c r="X118" s="71" t="n">
        <f aca="false">0</f>
        <v>0</v>
      </c>
      <c r="Y118" s="71" t="n">
        <f aca="false">0</f>
        <v>0</v>
      </c>
      <c r="Z118" s="71" t="n">
        <f aca="false">0</f>
        <v>0</v>
      </c>
      <c r="AA118" s="71" t="n">
        <f aca="false">0</f>
        <v>0</v>
      </c>
      <c r="AB118" s="71" t="n">
        <f aca="false">0</f>
        <v>0</v>
      </c>
    </row>
    <row r="119" customFormat="false" ht="15" hidden="false" customHeight="false" outlineLevel="0" collapsed="false">
      <c r="A119" s="29" t="s">
        <v>1163</v>
      </c>
      <c r="B119" s="60" t="s">
        <v>1164</v>
      </c>
      <c r="C119" s="61" t="n">
        <f aca="false">SUM(E119:P119)</f>
        <v>17970.5718</v>
      </c>
      <c r="D119" s="61" t="n">
        <f aca="false">SUM(Q119:AB119)</f>
        <v>19107.174672</v>
      </c>
      <c r="E119" s="62" t="n">
        <f aca="false">Assumptions!$C$56*MIN(E111,Assumptions!E$201)+Assumptions!$C$57*MIN(E111,Assumptions!E$202)</f>
        <v>1497.54765</v>
      </c>
      <c r="F119" s="62" t="n">
        <f aca="false">Assumptions!$C$56*MIN(F111,Assumptions!F$201)+Assumptions!$C$57*MIN(F111,Assumptions!F$202)</f>
        <v>1497.54765</v>
      </c>
      <c r="G119" s="62" t="n">
        <f aca="false">Assumptions!$C$56*MIN(G111,Assumptions!G$201)+Assumptions!$C$57*MIN(G111,Assumptions!G$202)</f>
        <v>1497.54765</v>
      </c>
      <c r="H119" s="62" t="n">
        <f aca="false">Assumptions!$C$56*MIN(H111,Assumptions!H$201)+Assumptions!$C$57*MIN(H111,Assumptions!H$202)</f>
        <v>1497.54765</v>
      </c>
      <c r="I119" s="62" t="n">
        <f aca="false">Assumptions!$C$56*MIN(I111,Assumptions!I$201)+Assumptions!$C$57*MIN(I111,Assumptions!I$202)</f>
        <v>1497.54765</v>
      </c>
      <c r="J119" s="62" t="n">
        <f aca="false">Assumptions!$C$56*MIN(J111,Assumptions!J$201)+Assumptions!$C$57*MIN(J111,Assumptions!J$202)</f>
        <v>1497.54765</v>
      </c>
      <c r="K119" s="62" t="n">
        <f aca="false">Assumptions!$C$56*MIN(K111,Assumptions!K$201)+Assumptions!$C$57*MIN(K111,Assumptions!K$202)</f>
        <v>1497.54765</v>
      </c>
      <c r="L119" s="62" t="n">
        <f aca="false">Assumptions!$C$56*MIN(L111,Assumptions!L$201)+Assumptions!$C$57*MIN(L111,Assumptions!L$202)</f>
        <v>1497.54765</v>
      </c>
      <c r="M119" s="62" t="n">
        <f aca="false">Assumptions!$C$56*MIN(M111,Assumptions!M$201)+Assumptions!$C$57*MIN(M111,Assumptions!M$202)</f>
        <v>1497.54765</v>
      </c>
      <c r="N119" s="62" t="n">
        <f aca="false">Assumptions!$C$56*MIN(N111,Assumptions!N$201)+Assumptions!$C$57*MIN(N111,Assumptions!N$202)</f>
        <v>1497.54765</v>
      </c>
      <c r="O119" s="62" t="n">
        <f aca="false">Assumptions!$C$56*MIN(O111,Assumptions!O$201)+Assumptions!$C$57*MIN(O111,Assumptions!O$202)</f>
        <v>1497.54765</v>
      </c>
      <c r="P119" s="62" t="n">
        <f aca="false">Assumptions!$C$56*MIN(P111,Assumptions!P$201)+Assumptions!$C$57*MIN(P111,Assumptions!P$202)</f>
        <v>1497.54765</v>
      </c>
      <c r="Q119" s="62" t="n">
        <f aca="false">Assumptions!$C$56*MIN(Q111,Assumptions!Q$201)+Assumptions!$C$57*MIN(Q111,Assumptions!Q$202)</f>
        <v>1592.264556</v>
      </c>
      <c r="R119" s="62" t="n">
        <f aca="false">Assumptions!$C$56*MIN(R111,Assumptions!R$201)+Assumptions!$C$57*MIN(R111,Assumptions!R$202)</f>
        <v>1592.264556</v>
      </c>
      <c r="S119" s="62" t="n">
        <f aca="false">Assumptions!$C$56*MIN(S111,Assumptions!S$201)+Assumptions!$C$57*MIN(S111,Assumptions!S$202)</f>
        <v>1592.264556</v>
      </c>
      <c r="T119" s="62" t="n">
        <f aca="false">Assumptions!$C$56*MIN(T111,Assumptions!T$201)+Assumptions!$C$57*MIN(T111,Assumptions!T$202)</f>
        <v>1592.264556</v>
      </c>
      <c r="U119" s="62" t="n">
        <f aca="false">Assumptions!$C$56*MIN(U111,Assumptions!U$201)+Assumptions!$C$57*MIN(U111,Assumptions!U$202)</f>
        <v>1592.264556</v>
      </c>
      <c r="V119" s="62" t="n">
        <f aca="false">Assumptions!$C$56*MIN(V111,Assumptions!V$201)+Assumptions!$C$57*MIN(V111,Assumptions!V$202)</f>
        <v>1592.264556</v>
      </c>
      <c r="W119" s="62" t="n">
        <f aca="false">Assumptions!$C$56*MIN(W111,Assumptions!W$201)+Assumptions!$C$57*MIN(W111,Assumptions!W$202)</f>
        <v>1592.264556</v>
      </c>
      <c r="X119" s="62" t="n">
        <f aca="false">Assumptions!$C$56*MIN(X111,Assumptions!X$201)+Assumptions!$C$57*MIN(X111,Assumptions!X$202)</f>
        <v>1592.264556</v>
      </c>
      <c r="Y119" s="62" t="n">
        <f aca="false">Assumptions!$C$56*MIN(Y111,Assumptions!Y$201)+Assumptions!$C$57*MIN(Y111,Assumptions!Y$202)</f>
        <v>1592.264556</v>
      </c>
      <c r="Z119" s="62" t="n">
        <f aca="false">Assumptions!$C$56*MIN(Z111,Assumptions!Z$201)+Assumptions!$C$57*MIN(Z111,Assumptions!Z$202)</f>
        <v>1592.264556</v>
      </c>
      <c r="AA119" s="62" t="n">
        <f aca="false">Assumptions!$C$56*MIN(AA111,Assumptions!AA$201)+Assumptions!$C$57*MIN(AA111,Assumptions!AA$202)</f>
        <v>1592.264556</v>
      </c>
      <c r="AB119" s="62" t="n">
        <f aca="false">Assumptions!$C$56*MIN(AB111,Assumptions!AB$201)+Assumptions!$C$57*MIN(AB111,Assumptions!AB$202)</f>
        <v>1592.264556</v>
      </c>
    </row>
    <row r="120" customFormat="false" ht="15" hidden="false" customHeight="false" outlineLevel="0" collapsed="false">
      <c r="A120" s="29" t="s">
        <v>1165</v>
      </c>
      <c r="B120" s="60" t="s">
        <v>1164</v>
      </c>
      <c r="C120" s="61" t="n">
        <f aca="false">SUM(E120:P120)</f>
        <v>12380.4</v>
      </c>
      <c r="D120" s="61" t="n">
        <f aca="false">SUM(Q120:AB120)</f>
        <v>12875.616</v>
      </c>
      <c r="E120" s="62" t="n">
        <f aca="false">Assumptions!$C$56*MIN(E112,Assumptions!E$201)+Assumptions!$C$57*MIN(E112,Assumptions!E$202)</f>
        <v>1031.7</v>
      </c>
      <c r="F120" s="62" t="n">
        <f aca="false">Assumptions!$C$56*MIN(F112,Assumptions!F$201)+Assumptions!$C$57*MIN(F112,Assumptions!F$202)</f>
        <v>1031.7</v>
      </c>
      <c r="G120" s="62" t="n">
        <f aca="false">Assumptions!$C$56*MIN(G112,Assumptions!G$201)+Assumptions!$C$57*MIN(G112,Assumptions!G$202)</f>
        <v>1031.7</v>
      </c>
      <c r="H120" s="62" t="n">
        <f aca="false">Assumptions!$C$56*MIN(H112,Assumptions!H$201)+Assumptions!$C$57*MIN(H112,Assumptions!H$202)</f>
        <v>1031.7</v>
      </c>
      <c r="I120" s="62" t="n">
        <f aca="false">Assumptions!$C$56*MIN(I112,Assumptions!I$201)+Assumptions!$C$57*MIN(I112,Assumptions!I$202)</f>
        <v>1031.7</v>
      </c>
      <c r="J120" s="62" t="n">
        <f aca="false">Assumptions!$C$56*MIN(J112,Assumptions!J$201)+Assumptions!$C$57*MIN(J112,Assumptions!J$202)</f>
        <v>1031.7</v>
      </c>
      <c r="K120" s="62" t="n">
        <f aca="false">Assumptions!$C$56*MIN(K112,Assumptions!K$201)+Assumptions!$C$57*MIN(K112,Assumptions!K$202)</f>
        <v>1031.7</v>
      </c>
      <c r="L120" s="62" t="n">
        <f aca="false">Assumptions!$C$56*MIN(L112,Assumptions!L$201)+Assumptions!$C$57*MIN(L112,Assumptions!L$202)</f>
        <v>1031.7</v>
      </c>
      <c r="M120" s="62" t="n">
        <f aca="false">Assumptions!$C$56*MIN(M112,Assumptions!M$201)+Assumptions!$C$57*MIN(M112,Assumptions!M$202)</f>
        <v>1031.7</v>
      </c>
      <c r="N120" s="62" t="n">
        <f aca="false">Assumptions!$C$56*MIN(N112,Assumptions!N$201)+Assumptions!$C$57*MIN(N112,Assumptions!N$202)</f>
        <v>1031.7</v>
      </c>
      <c r="O120" s="62" t="n">
        <f aca="false">Assumptions!$C$56*MIN(O112,Assumptions!O$201)+Assumptions!$C$57*MIN(O112,Assumptions!O$202)</f>
        <v>1031.7</v>
      </c>
      <c r="P120" s="62" t="n">
        <f aca="false">Assumptions!$C$56*MIN(P112,Assumptions!P$201)+Assumptions!$C$57*MIN(P112,Assumptions!P$202)</f>
        <v>1031.7</v>
      </c>
      <c r="Q120" s="62" t="n">
        <f aca="false">Assumptions!$C$56*MIN(Q112,Assumptions!Q$201)+Assumptions!$C$57*MIN(Q112,Assumptions!Q$202)</f>
        <v>1072.968</v>
      </c>
      <c r="R120" s="62" t="n">
        <f aca="false">Assumptions!$C$56*MIN(R112,Assumptions!R$201)+Assumptions!$C$57*MIN(R112,Assumptions!R$202)</f>
        <v>1072.968</v>
      </c>
      <c r="S120" s="62" t="n">
        <f aca="false">Assumptions!$C$56*MIN(S112,Assumptions!S$201)+Assumptions!$C$57*MIN(S112,Assumptions!S$202)</f>
        <v>1072.968</v>
      </c>
      <c r="T120" s="62" t="n">
        <f aca="false">Assumptions!$C$56*MIN(T112,Assumptions!T$201)+Assumptions!$C$57*MIN(T112,Assumptions!T$202)</f>
        <v>1072.968</v>
      </c>
      <c r="U120" s="62" t="n">
        <f aca="false">Assumptions!$C$56*MIN(U112,Assumptions!U$201)+Assumptions!$C$57*MIN(U112,Assumptions!U$202)</f>
        <v>1072.968</v>
      </c>
      <c r="V120" s="62" t="n">
        <f aca="false">Assumptions!$C$56*MIN(V112,Assumptions!V$201)+Assumptions!$C$57*MIN(V112,Assumptions!V$202)</f>
        <v>1072.968</v>
      </c>
      <c r="W120" s="62" t="n">
        <f aca="false">Assumptions!$C$56*MIN(W112,Assumptions!W$201)+Assumptions!$C$57*MIN(W112,Assumptions!W$202)</f>
        <v>1072.968</v>
      </c>
      <c r="X120" s="62" t="n">
        <f aca="false">Assumptions!$C$56*MIN(X112,Assumptions!X$201)+Assumptions!$C$57*MIN(X112,Assumptions!X$202)</f>
        <v>1072.968</v>
      </c>
      <c r="Y120" s="62" t="n">
        <f aca="false">Assumptions!$C$56*MIN(Y112,Assumptions!Y$201)+Assumptions!$C$57*MIN(Y112,Assumptions!Y$202)</f>
        <v>1072.968</v>
      </c>
      <c r="Z120" s="62" t="n">
        <f aca="false">Assumptions!$C$56*MIN(Z112,Assumptions!Z$201)+Assumptions!$C$57*MIN(Z112,Assumptions!Z$202)</f>
        <v>1072.968</v>
      </c>
      <c r="AA120" s="62" t="n">
        <f aca="false">Assumptions!$C$56*MIN(AA112,Assumptions!AA$201)+Assumptions!$C$57*MIN(AA112,Assumptions!AA$202)</f>
        <v>1072.968</v>
      </c>
      <c r="AB120" s="62" t="n">
        <f aca="false">Assumptions!$C$56*MIN(AB112,Assumptions!AB$201)+Assumptions!$C$57*MIN(AB112,Assumptions!AB$202)</f>
        <v>1072.968</v>
      </c>
    </row>
    <row r="121" customFormat="false" ht="15" hidden="false" customHeight="false" outlineLevel="0" collapsed="false">
      <c r="A121" s="29" t="s">
        <v>1166</v>
      </c>
      <c r="B121" s="60" t="s">
        <v>1164</v>
      </c>
      <c r="C121" s="61" t="n">
        <f aca="false">SUM(E121:P121)</f>
        <v>14335.2</v>
      </c>
      <c r="D121" s="61" t="n">
        <f aca="false">SUM(Q121:AB121)</f>
        <v>14908.608</v>
      </c>
      <c r="E121" s="62" t="n">
        <f aca="false">Assumptions!$C$56*MIN(E113,Assumptions!E$201)+Assumptions!$C$57*MIN(E113,Assumptions!E$202)</f>
        <v>1194.6</v>
      </c>
      <c r="F121" s="62" t="n">
        <f aca="false">Assumptions!$C$56*MIN(F113,Assumptions!F$201)+Assumptions!$C$57*MIN(F113,Assumptions!F$202)</f>
        <v>1194.6</v>
      </c>
      <c r="G121" s="62" t="n">
        <f aca="false">Assumptions!$C$56*MIN(G113,Assumptions!G$201)+Assumptions!$C$57*MIN(G113,Assumptions!G$202)</f>
        <v>1194.6</v>
      </c>
      <c r="H121" s="62" t="n">
        <f aca="false">Assumptions!$C$56*MIN(H113,Assumptions!H$201)+Assumptions!$C$57*MIN(H113,Assumptions!H$202)</f>
        <v>1194.6</v>
      </c>
      <c r="I121" s="62" t="n">
        <f aca="false">Assumptions!$C$56*MIN(I113,Assumptions!I$201)+Assumptions!$C$57*MIN(I113,Assumptions!I$202)</f>
        <v>1194.6</v>
      </c>
      <c r="J121" s="62" t="n">
        <f aca="false">Assumptions!$C$56*MIN(J113,Assumptions!J$201)+Assumptions!$C$57*MIN(J113,Assumptions!J$202)</f>
        <v>1194.6</v>
      </c>
      <c r="K121" s="62" t="n">
        <f aca="false">Assumptions!$C$56*MIN(K113,Assumptions!K$201)+Assumptions!$C$57*MIN(K113,Assumptions!K$202)</f>
        <v>1194.6</v>
      </c>
      <c r="L121" s="62" t="n">
        <f aca="false">Assumptions!$C$56*MIN(L113,Assumptions!L$201)+Assumptions!$C$57*MIN(L113,Assumptions!L$202)</f>
        <v>1194.6</v>
      </c>
      <c r="M121" s="62" t="n">
        <f aca="false">Assumptions!$C$56*MIN(M113,Assumptions!M$201)+Assumptions!$C$57*MIN(M113,Assumptions!M$202)</f>
        <v>1194.6</v>
      </c>
      <c r="N121" s="62" t="n">
        <f aca="false">Assumptions!$C$56*MIN(N113,Assumptions!N$201)+Assumptions!$C$57*MIN(N113,Assumptions!N$202)</f>
        <v>1194.6</v>
      </c>
      <c r="O121" s="62" t="n">
        <f aca="false">Assumptions!$C$56*MIN(O113,Assumptions!O$201)+Assumptions!$C$57*MIN(O113,Assumptions!O$202)</f>
        <v>1194.6</v>
      </c>
      <c r="P121" s="62" t="n">
        <f aca="false">Assumptions!$C$56*MIN(P113,Assumptions!P$201)+Assumptions!$C$57*MIN(P113,Assumptions!P$202)</f>
        <v>1194.6</v>
      </c>
      <c r="Q121" s="62" t="n">
        <f aca="false">Assumptions!$C$56*MIN(Q113,Assumptions!Q$201)+Assumptions!$C$57*MIN(Q113,Assumptions!Q$202)</f>
        <v>1242.384</v>
      </c>
      <c r="R121" s="62" t="n">
        <f aca="false">Assumptions!$C$56*MIN(R113,Assumptions!R$201)+Assumptions!$C$57*MIN(R113,Assumptions!R$202)</f>
        <v>1242.384</v>
      </c>
      <c r="S121" s="62" t="n">
        <f aca="false">Assumptions!$C$56*MIN(S113,Assumptions!S$201)+Assumptions!$C$57*MIN(S113,Assumptions!S$202)</f>
        <v>1242.384</v>
      </c>
      <c r="T121" s="62" t="n">
        <f aca="false">Assumptions!$C$56*MIN(T113,Assumptions!T$201)+Assumptions!$C$57*MIN(T113,Assumptions!T$202)</f>
        <v>1242.384</v>
      </c>
      <c r="U121" s="62" t="n">
        <f aca="false">Assumptions!$C$56*MIN(U113,Assumptions!U$201)+Assumptions!$C$57*MIN(U113,Assumptions!U$202)</f>
        <v>1242.384</v>
      </c>
      <c r="V121" s="62" t="n">
        <f aca="false">Assumptions!$C$56*MIN(V113,Assumptions!V$201)+Assumptions!$C$57*MIN(V113,Assumptions!V$202)</f>
        <v>1242.384</v>
      </c>
      <c r="W121" s="62" t="n">
        <f aca="false">Assumptions!$C$56*MIN(W113,Assumptions!W$201)+Assumptions!$C$57*MIN(W113,Assumptions!W$202)</f>
        <v>1242.384</v>
      </c>
      <c r="X121" s="62" t="n">
        <f aca="false">Assumptions!$C$56*MIN(X113,Assumptions!X$201)+Assumptions!$C$57*MIN(X113,Assumptions!X$202)</f>
        <v>1242.384</v>
      </c>
      <c r="Y121" s="62" t="n">
        <f aca="false">Assumptions!$C$56*MIN(Y113,Assumptions!Y$201)+Assumptions!$C$57*MIN(Y113,Assumptions!Y$202)</f>
        <v>1242.384</v>
      </c>
      <c r="Z121" s="62" t="n">
        <f aca="false">Assumptions!$C$56*MIN(Z113,Assumptions!Z$201)+Assumptions!$C$57*MIN(Z113,Assumptions!Z$202)</f>
        <v>1242.384</v>
      </c>
      <c r="AA121" s="62" t="n">
        <f aca="false">Assumptions!$C$56*MIN(AA113,Assumptions!AA$201)+Assumptions!$C$57*MIN(AA113,Assumptions!AA$202)</f>
        <v>1242.384</v>
      </c>
      <c r="AB121" s="62" t="n">
        <f aca="false">Assumptions!$C$56*MIN(AB113,Assumptions!AB$201)+Assumptions!$C$57*MIN(AB113,Assumptions!AB$202)</f>
        <v>1242.384</v>
      </c>
    </row>
    <row r="122" customFormat="false" ht="15" hidden="false" customHeight="false" outlineLevel="0" collapsed="false">
      <c r="A122" s="29" t="s">
        <v>1167</v>
      </c>
      <c r="B122" s="60" t="s">
        <v>1164</v>
      </c>
      <c r="C122" s="61" t="n">
        <f aca="false">SUM(E122:P122)</f>
        <v>10425.6</v>
      </c>
      <c r="D122" s="61" t="n">
        <f aca="false">SUM(Q122:AB122)</f>
        <v>10842.624</v>
      </c>
      <c r="E122" s="62" t="n">
        <f aca="false">Assumptions!$C$56*MIN(E114,Assumptions!E$201)+Assumptions!$C$57*MIN(E114,Assumptions!E$202)</f>
        <v>868.8</v>
      </c>
      <c r="F122" s="62" t="n">
        <f aca="false">Assumptions!$C$56*MIN(F114,Assumptions!F$201)+Assumptions!$C$57*MIN(F114,Assumptions!F$202)</f>
        <v>868.8</v>
      </c>
      <c r="G122" s="62" t="n">
        <f aca="false">Assumptions!$C$56*MIN(G114,Assumptions!G$201)+Assumptions!$C$57*MIN(G114,Assumptions!G$202)</f>
        <v>868.8</v>
      </c>
      <c r="H122" s="62" t="n">
        <f aca="false">Assumptions!$C$56*MIN(H114,Assumptions!H$201)+Assumptions!$C$57*MIN(H114,Assumptions!H$202)</f>
        <v>868.8</v>
      </c>
      <c r="I122" s="62" t="n">
        <f aca="false">Assumptions!$C$56*MIN(I114,Assumptions!I$201)+Assumptions!$C$57*MIN(I114,Assumptions!I$202)</f>
        <v>868.8</v>
      </c>
      <c r="J122" s="62" t="n">
        <f aca="false">Assumptions!$C$56*MIN(J114,Assumptions!J$201)+Assumptions!$C$57*MIN(J114,Assumptions!J$202)</f>
        <v>868.8</v>
      </c>
      <c r="K122" s="62" t="n">
        <f aca="false">Assumptions!$C$56*MIN(K114,Assumptions!K$201)+Assumptions!$C$57*MIN(K114,Assumptions!K$202)</f>
        <v>868.8</v>
      </c>
      <c r="L122" s="62" t="n">
        <f aca="false">Assumptions!$C$56*MIN(L114,Assumptions!L$201)+Assumptions!$C$57*MIN(L114,Assumptions!L$202)</f>
        <v>868.8</v>
      </c>
      <c r="M122" s="62" t="n">
        <f aca="false">Assumptions!$C$56*MIN(M114,Assumptions!M$201)+Assumptions!$C$57*MIN(M114,Assumptions!M$202)</f>
        <v>868.8</v>
      </c>
      <c r="N122" s="62" t="n">
        <f aca="false">Assumptions!$C$56*MIN(N114,Assumptions!N$201)+Assumptions!$C$57*MIN(N114,Assumptions!N$202)</f>
        <v>868.8</v>
      </c>
      <c r="O122" s="62" t="n">
        <f aca="false">Assumptions!$C$56*MIN(O114,Assumptions!O$201)+Assumptions!$C$57*MIN(O114,Assumptions!O$202)</f>
        <v>868.8</v>
      </c>
      <c r="P122" s="62" t="n">
        <f aca="false">Assumptions!$C$56*MIN(P114,Assumptions!P$201)+Assumptions!$C$57*MIN(P114,Assumptions!P$202)</f>
        <v>868.8</v>
      </c>
      <c r="Q122" s="62" t="n">
        <f aca="false">Assumptions!$C$56*MIN(Q114,Assumptions!Q$201)+Assumptions!$C$57*MIN(Q114,Assumptions!Q$202)</f>
        <v>903.552</v>
      </c>
      <c r="R122" s="62" t="n">
        <f aca="false">Assumptions!$C$56*MIN(R114,Assumptions!R$201)+Assumptions!$C$57*MIN(R114,Assumptions!R$202)</f>
        <v>903.552</v>
      </c>
      <c r="S122" s="62" t="n">
        <f aca="false">Assumptions!$C$56*MIN(S114,Assumptions!S$201)+Assumptions!$C$57*MIN(S114,Assumptions!S$202)</f>
        <v>903.552</v>
      </c>
      <c r="T122" s="62" t="n">
        <f aca="false">Assumptions!$C$56*MIN(T114,Assumptions!T$201)+Assumptions!$C$57*MIN(T114,Assumptions!T$202)</f>
        <v>903.552</v>
      </c>
      <c r="U122" s="62" t="n">
        <f aca="false">Assumptions!$C$56*MIN(U114,Assumptions!U$201)+Assumptions!$C$57*MIN(U114,Assumptions!U$202)</f>
        <v>903.552</v>
      </c>
      <c r="V122" s="62" t="n">
        <f aca="false">Assumptions!$C$56*MIN(V114,Assumptions!V$201)+Assumptions!$C$57*MIN(V114,Assumptions!V$202)</f>
        <v>903.552</v>
      </c>
      <c r="W122" s="62" t="n">
        <f aca="false">Assumptions!$C$56*MIN(W114,Assumptions!W$201)+Assumptions!$C$57*MIN(W114,Assumptions!W$202)</f>
        <v>903.552</v>
      </c>
      <c r="X122" s="62" t="n">
        <f aca="false">Assumptions!$C$56*MIN(X114,Assumptions!X$201)+Assumptions!$C$57*MIN(X114,Assumptions!X$202)</f>
        <v>903.552</v>
      </c>
      <c r="Y122" s="62" t="n">
        <f aca="false">Assumptions!$C$56*MIN(Y114,Assumptions!Y$201)+Assumptions!$C$57*MIN(Y114,Assumptions!Y$202)</f>
        <v>903.552</v>
      </c>
      <c r="Z122" s="62" t="n">
        <f aca="false">Assumptions!$C$56*MIN(Z114,Assumptions!Z$201)+Assumptions!$C$57*MIN(Z114,Assumptions!Z$202)</f>
        <v>903.552</v>
      </c>
      <c r="AA122" s="62" t="n">
        <f aca="false">Assumptions!$C$56*MIN(AA114,Assumptions!AA$201)+Assumptions!$C$57*MIN(AA114,Assumptions!AA$202)</f>
        <v>903.552</v>
      </c>
      <c r="AB122" s="62" t="n">
        <f aca="false">Assumptions!$C$56*MIN(AB114,Assumptions!AB$201)+Assumptions!$C$57*MIN(AB114,Assumptions!AB$202)</f>
        <v>903.552</v>
      </c>
    </row>
    <row r="123" customFormat="false" ht="15" hidden="false" customHeight="false" outlineLevel="0" collapsed="false">
      <c r="A123" s="29" t="s">
        <v>1168</v>
      </c>
      <c r="B123" s="60" t="s">
        <v>1164</v>
      </c>
      <c r="C123" s="61" t="n">
        <f aca="false">SUM(E123:P123)</f>
        <v>13032</v>
      </c>
      <c r="D123" s="61" t="n">
        <f aca="false">SUM(Q123:AB123)</f>
        <v>13553.28</v>
      </c>
      <c r="E123" s="62" t="n">
        <f aca="false">Assumptions!$C$56*MIN(E115,Assumptions!E$201)+Assumptions!$C$57*MIN(E115,Assumptions!E$202)</f>
        <v>1086</v>
      </c>
      <c r="F123" s="62" t="n">
        <f aca="false">Assumptions!$C$56*MIN(F115,Assumptions!F$201)+Assumptions!$C$57*MIN(F115,Assumptions!F$202)</f>
        <v>1086</v>
      </c>
      <c r="G123" s="62" t="n">
        <f aca="false">Assumptions!$C$56*MIN(G115,Assumptions!G$201)+Assumptions!$C$57*MIN(G115,Assumptions!G$202)</f>
        <v>1086</v>
      </c>
      <c r="H123" s="62" t="n">
        <f aca="false">Assumptions!$C$56*MIN(H115,Assumptions!H$201)+Assumptions!$C$57*MIN(H115,Assumptions!H$202)</f>
        <v>1086</v>
      </c>
      <c r="I123" s="62" t="n">
        <f aca="false">Assumptions!$C$56*MIN(I115,Assumptions!I$201)+Assumptions!$C$57*MIN(I115,Assumptions!I$202)</f>
        <v>1086</v>
      </c>
      <c r="J123" s="62" t="n">
        <f aca="false">Assumptions!$C$56*MIN(J115,Assumptions!J$201)+Assumptions!$C$57*MIN(J115,Assumptions!J$202)</f>
        <v>1086</v>
      </c>
      <c r="K123" s="62" t="n">
        <f aca="false">Assumptions!$C$56*MIN(K115,Assumptions!K$201)+Assumptions!$C$57*MIN(K115,Assumptions!K$202)</f>
        <v>1086</v>
      </c>
      <c r="L123" s="62" t="n">
        <f aca="false">Assumptions!$C$56*MIN(L115,Assumptions!L$201)+Assumptions!$C$57*MIN(L115,Assumptions!L$202)</f>
        <v>1086</v>
      </c>
      <c r="M123" s="62" t="n">
        <f aca="false">Assumptions!$C$56*MIN(M115,Assumptions!M$201)+Assumptions!$C$57*MIN(M115,Assumptions!M$202)</f>
        <v>1086</v>
      </c>
      <c r="N123" s="62" t="n">
        <f aca="false">Assumptions!$C$56*MIN(N115,Assumptions!N$201)+Assumptions!$C$57*MIN(N115,Assumptions!N$202)</f>
        <v>1086</v>
      </c>
      <c r="O123" s="62" t="n">
        <f aca="false">Assumptions!$C$56*MIN(O115,Assumptions!O$201)+Assumptions!$C$57*MIN(O115,Assumptions!O$202)</f>
        <v>1086</v>
      </c>
      <c r="P123" s="62" t="n">
        <f aca="false">Assumptions!$C$56*MIN(P115,Assumptions!P$201)+Assumptions!$C$57*MIN(P115,Assumptions!P$202)</f>
        <v>1086</v>
      </c>
      <c r="Q123" s="62" t="n">
        <f aca="false">Assumptions!$C$56*MIN(Q115,Assumptions!Q$201)+Assumptions!$C$57*MIN(Q115,Assumptions!Q$202)</f>
        <v>1129.44</v>
      </c>
      <c r="R123" s="62" t="n">
        <f aca="false">Assumptions!$C$56*MIN(R115,Assumptions!R$201)+Assumptions!$C$57*MIN(R115,Assumptions!R$202)</f>
        <v>1129.44</v>
      </c>
      <c r="S123" s="62" t="n">
        <f aca="false">Assumptions!$C$56*MIN(S115,Assumptions!S$201)+Assumptions!$C$57*MIN(S115,Assumptions!S$202)</f>
        <v>1129.44</v>
      </c>
      <c r="T123" s="62" t="n">
        <f aca="false">Assumptions!$C$56*MIN(T115,Assumptions!T$201)+Assumptions!$C$57*MIN(T115,Assumptions!T$202)</f>
        <v>1129.44</v>
      </c>
      <c r="U123" s="62" t="n">
        <f aca="false">Assumptions!$C$56*MIN(U115,Assumptions!U$201)+Assumptions!$C$57*MIN(U115,Assumptions!U$202)</f>
        <v>1129.44</v>
      </c>
      <c r="V123" s="62" t="n">
        <f aca="false">Assumptions!$C$56*MIN(V115,Assumptions!V$201)+Assumptions!$C$57*MIN(V115,Assumptions!V$202)</f>
        <v>1129.44</v>
      </c>
      <c r="W123" s="62" t="n">
        <f aca="false">Assumptions!$C$56*MIN(W115,Assumptions!W$201)+Assumptions!$C$57*MIN(W115,Assumptions!W$202)</f>
        <v>1129.44</v>
      </c>
      <c r="X123" s="62" t="n">
        <f aca="false">Assumptions!$C$56*MIN(X115,Assumptions!X$201)+Assumptions!$C$57*MIN(X115,Assumptions!X$202)</f>
        <v>1129.44</v>
      </c>
      <c r="Y123" s="62" t="n">
        <f aca="false">Assumptions!$C$56*MIN(Y115,Assumptions!Y$201)+Assumptions!$C$57*MIN(Y115,Assumptions!Y$202)</f>
        <v>1129.44</v>
      </c>
      <c r="Z123" s="62" t="n">
        <f aca="false">Assumptions!$C$56*MIN(Z115,Assumptions!Z$201)+Assumptions!$C$57*MIN(Z115,Assumptions!Z$202)</f>
        <v>1129.44</v>
      </c>
      <c r="AA123" s="62" t="n">
        <f aca="false">Assumptions!$C$56*MIN(AA115,Assumptions!AA$201)+Assumptions!$C$57*MIN(AA115,Assumptions!AA$202)</f>
        <v>1129.44</v>
      </c>
      <c r="AB123" s="62" t="n">
        <f aca="false">Assumptions!$C$56*MIN(AB115,Assumptions!AB$201)+Assumptions!$C$57*MIN(AB115,Assumptions!AB$202)</f>
        <v>1129.44</v>
      </c>
    </row>
    <row r="124" customFormat="false" ht="15" hidden="false" customHeight="false" outlineLevel="0" collapsed="false">
      <c r="A124" s="29" t="s">
        <v>1169</v>
      </c>
      <c r="B124" s="60" t="s">
        <v>1164</v>
      </c>
      <c r="C124" s="61" t="n">
        <f aca="false">SUM(E124:P124)</f>
        <v>12815.6688</v>
      </c>
      <c r="D124" s="61" t="n">
        <f aca="false">SUM(Q124:AB124)</f>
        <v>13328.295552</v>
      </c>
      <c r="E124" s="62" t="n">
        <f aca="false">Assumptions!$C$56*MIN(E116,Assumptions!E$201)+Assumptions!$C$57*MIN(E116,Assumptions!E$202)</f>
        <v>1067.9724</v>
      </c>
      <c r="F124" s="62" t="n">
        <f aca="false">Assumptions!$C$56*MIN(F116,Assumptions!F$201)+Assumptions!$C$57*MIN(F116,Assumptions!F$202)</f>
        <v>1067.9724</v>
      </c>
      <c r="G124" s="62" t="n">
        <f aca="false">Assumptions!$C$56*MIN(G116,Assumptions!G$201)+Assumptions!$C$57*MIN(G116,Assumptions!G$202)</f>
        <v>1067.9724</v>
      </c>
      <c r="H124" s="62" t="n">
        <f aca="false">Assumptions!$C$56*MIN(H116,Assumptions!H$201)+Assumptions!$C$57*MIN(H116,Assumptions!H$202)</f>
        <v>1067.9724</v>
      </c>
      <c r="I124" s="62" t="n">
        <f aca="false">Assumptions!$C$56*MIN(I116,Assumptions!I$201)+Assumptions!$C$57*MIN(I116,Assumptions!I$202)</f>
        <v>1067.9724</v>
      </c>
      <c r="J124" s="62" t="n">
        <f aca="false">Assumptions!$C$56*MIN(J116,Assumptions!J$201)+Assumptions!$C$57*MIN(J116,Assumptions!J$202)</f>
        <v>1067.9724</v>
      </c>
      <c r="K124" s="62" t="n">
        <f aca="false">Assumptions!$C$56*MIN(K116,Assumptions!K$201)+Assumptions!$C$57*MIN(K116,Assumptions!K$202)</f>
        <v>1067.9724</v>
      </c>
      <c r="L124" s="62" t="n">
        <f aca="false">Assumptions!$C$56*MIN(L116,Assumptions!L$201)+Assumptions!$C$57*MIN(L116,Assumptions!L$202)</f>
        <v>1067.9724</v>
      </c>
      <c r="M124" s="62" t="n">
        <f aca="false">Assumptions!$C$56*MIN(M116,Assumptions!M$201)+Assumptions!$C$57*MIN(M116,Assumptions!M$202)</f>
        <v>1067.9724</v>
      </c>
      <c r="N124" s="62" t="n">
        <f aca="false">Assumptions!$C$56*MIN(N116,Assumptions!N$201)+Assumptions!$C$57*MIN(N116,Assumptions!N$202)</f>
        <v>1067.9724</v>
      </c>
      <c r="O124" s="62" t="n">
        <f aca="false">Assumptions!$C$56*MIN(O116,Assumptions!O$201)+Assumptions!$C$57*MIN(O116,Assumptions!O$202)</f>
        <v>1067.9724</v>
      </c>
      <c r="P124" s="62" t="n">
        <f aca="false">Assumptions!$C$56*MIN(P116,Assumptions!P$201)+Assumptions!$C$57*MIN(P116,Assumptions!P$202)</f>
        <v>1067.9724</v>
      </c>
      <c r="Q124" s="62" t="n">
        <f aca="false">Assumptions!$C$56*MIN(Q116,Assumptions!Q$201)+Assumptions!$C$57*MIN(Q116,Assumptions!Q$202)</f>
        <v>1110.691296</v>
      </c>
      <c r="R124" s="62" t="n">
        <f aca="false">Assumptions!$C$56*MIN(R116,Assumptions!R$201)+Assumptions!$C$57*MIN(R116,Assumptions!R$202)</f>
        <v>1110.691296</v>
      </c>
      <c r="S124" s="62" t="n">
        <f aca="false">Assumptions!$C$56*MIN(S116,Assumptions!S$201)+Assumptions!$C$57*MIN(S116,Assumptions!S$202)</f>
        <v>1110.691296</v>
      </c>
      <c r="T124" s="62" t="n">
        <f aca="false">Assumptions!$C$56*MIN(T116,Assumptions!T$201)+Assumptions!$C$57*MIN(T116,Assumptions!T$202)</f>
        <v>1110.691296</v>
      </c>
      <c r="U124" s="62" t="n">
        <f aca="false">Assumptions!$C$56*MIN(U116,Assumptions!U$201)+Assumptions!$C$57*MIN(U116,Assumptions!U$202)</f>
        <v>1110.691296</v>
      </c>
      <c r="V124" s="62" t="n">
        <f aca="false">Assumptions!$C$56*MIN(V116,Assumptions!V$201)+Assumptions!$C$57*MIN(V116,Assumptions!V$202)</f>
        <v>1110.691296</v>
      </c>
      <c r="W124" s="62" t="n">
        <f aca="false">Assumptions!$C$56*MIN(W116,Assumptions!W$201)+Assumptions!$C$57*MIN(W116,Assumptions!W$202)</f>
        <v>1110.691296</v>
      </c>
      <c r="X124" s="62" t="n">
        <f aca="false">Assumptions!$C$56*MIN(X116,Assumptions!X$201)+Assumptions!$C$57*MIN(X116,Assumptions!X$202)</f>
        <v>1110.691296</v>
      </c>
      <c r="Y124" s="62" t="n">
        <f aca="false">Assumptions!$C$56*MIN(Y116,Assumptions!Y$201)+Assumptions!$C$57*MIN(Y116,Assumptions!Y$202)</f>
        <v>1110.691296</v>
      </c>
      <c r="Z124" s="62" t="n">
        <f aca="false">Assumptions!$C$56*MIN(Z116,Assumptions!Z$201)+Assumptions!$C$57*MIN(Z116,Assumptions!Z$202)</f>
        <v>1110.691296</v>
      </c>
      <c r="AA124" s="62" t="n">
        <f aca="false">Assumptions!$C$56*MIN(AA116,Assumptions!AA$201)+Assumptions!$C$57*MIN(AA116,Assumptions!AA$202)</f>
        <v>1110.691296</v>
      </c>
      <c r="AB124" s="62" t="n">
        <f aca="false">Assumptions!$C$56*MIN(AB116,Assumptions!AB$201)+Assumptions!$C$57*MIN(AB116,Assumptions!AB$202)</f>
        <v>1110.691296</v>
      </c>
    </row>
    <row r="125" customFormat="false" ht="15" hidden="false" customHeight="false" outlineLevel="0" collapsed="false">
      <c r="A125" s="29" t="s">
        <v>1170</v>
      </c>
      <c r="B125" s="60" t="s">
        <v>1164</v>
      </c>
      <c r="C125" s="61" t="n">
        <f aca="false">SUM(E125:P125)</f>
        <v>10860.8688</v>
      </c>
      <c r="D125" s="61" t="n">
        <f aca="false">SUM(Q125:AB125)</f>
        <v>11295.303552</v>
      </c>
      <c r="E125" s="62" t="n">
        <f aca="false">Assumptions!$C$56*MIN(E117,Assumptions!E$201)+Assumptions!$C$57*MIN(E117,Assumptions!E$202)</f>
        <v>905.0724</v>
      </c>
      <c r="F125" s="62" t="n">
        <f aca="false">Assumptions!$C$56*MIN(F117,Assumptions!F$201)+Assumptions!$C$57*MIN(F117,Assumptions!F$202)</f>
        <v>905.0724</v>
      </c>
      <c r="G125" s="62" t="n">
        <f aca="false">Assumptions!$C$56*MIN(G117,Assumptions!G$201)+Assumptions!$C$57*MIN(G117,Assumptions!G$202)</f>
        <v>905.0724</v>
      </c>
      <c r="H125" s="62" t="n">
        <f aca="false">Assumptions!$C$56*MIN(H117,Assumptions!H$201)+Assumptions!$C$57*MIN(H117,Assumptions!H$202)</f>
        <v>905.0724</v>
      </c>
      <c r="I125" s="62" t="n">
        <f aca="false">Assumptions!$C$56*MIN(I117,Assumptions!I$201)+Assumptions!$C$57*MIN(I117,Assumptions!I$202)</f>
        <v>905.0724</v>
      </c>
      <c r="J125" s="62" t="n">
        <f aca="false">Assumptions!$C$56*MIN(J117,Assumptions!J$201)+Assumptions!$C$57*MIN(J117,Assumptions!J$202)</f>
        <v>905.0724</v>
      </c>
      <c r="K125" s="62" t="n">
        <f aca="false">Assumptions!$C$56*MIN(K117,Assumptions!K$201)+Assumptions!$C$57*MIN(K117,Assumptions!K$202)</f>
        <v>905.0724</v>
      </c>
      <c r="L125" s="62" t="n">
        <f aca="false">Assumptions!$C$56*MIN(L117,Assumptions!L$201)+Assumptions!$C$57*MIN(L117,Assumptions!L$202)</f>
        <v>905.0724</v>
      </c>
      <c r="M125" s="62" t="n">
        <f aca="false">Assumptions!$C$56*MIN(M117,Assumptions!M$201)+Assumptions!$C$57*MIN(M117,Assumptions!M$202)</f>
        <v>905.0724</v>
      </c>
      <c r="N125" s="62" t="n">
        <f aca="false">Assumptions!$C$56*MIN(N117,Assumptions!N$201)+Assumptions!$C$57*MIN(N117,Assumptions!N$202)</f>
        <v>905.0724</v>
      </c>
      <c r="O125" s="62" t="n">
        <f aca="false">Assumptions!$C$56*MIN(O117,Assumptions!O$201)+Assumptions!$C$57*MIN(O117,Assumptions!O$202)</f>
        <v>905.0724</v>
      </c>
      <c r="P125" s="62" t="n">
        <f aca="false">Assumptions!$C$56*MIN(P117,Assumptions!P$201)+Assumptions!$C$57*MIN(P117,Assumptions!P$202)</f>
        <v>905.0724</v>
      </c>
      <c r="Q125" s="62" t="n">
        <f aca="false">Assumptions!$C$56*MIN(Q117,Assumptions!Q$201)+Assumptions!$C$57*MIN(Q117,Assumptions!Q$202)</f>
        <v>941.275296</v>
      </c>
      <c r="R125" s="62" t="n">
        <f aca="false">Assumptions!$C$56*MIN(R117,Assumptions!R$201)+Assumptions!$C$57*MIN(R117,Assumptions!R$202)</f>
        <v>941.275296</v>
      </c>
      <c r="S125" s="62" t="n">
        <f aca="false">Assumptions!$C$56*MIN(S117,Assumptions!S$201)+Assumptions!$C$57*MIN(S117,Assumptions!S$202)</f>
        <v>941.275296</v>
      </c>
      <c r="T125" s="62" t="n">
        <f aca="false">Assumptions!$C$56*MIN(T117,Assumptions!T$201)+Assumptions!$C$57*MIN(T117,Assumptions!T$202)</f>
        <v>941.275296</v>
      </c>
      <c r="U125" s="62" t="n">
        <f aca="false">Assumptions!$C$56*MIN(U117,Assumptions!U$201)+Assumptions!$C$57*MIN(U117,Assumptions!U$202)</f>
        <v>941.275296</v>
      </c>
      <c r="V125" s="62" t="n">
        <f aca="false">Assumptions!$C$56*MIN(V117,Assumptions!V$201)+Assumptions!$C$57*MIN(V117,Assumptions!V$202)</f>
        <v>941.275296</v>
      </c>
      <c r="W125" s="62" t="n">
        <f aca="false">Assumptions!$C$56*MIN(W117,Assumptions!W$201)+Assumptions!$C$57*MIN(W117,Assumptions!W$202)</f>
        <v>941.275296</v>
      </c>
      <c r="X125" s="62" t="n">
        <f aca="false">Assumptions!$C$56*MIN(X117,Assumptions!X$201)+Assumptions!$C$57*MIN(X117,Assumptions!X$202)</f>
        <v>941.275296</v>
      </c>
      <c r="Y125" s="62" t="n">
        <f aca="false">Assumptions!$C$56*MIN(Y117,Assumptions!Y$201)+Assumptions!$C$57*MIN(Y117,Assumptions!Y$202)</f>
        <v>941.275296</v>
      </c>
      <c r="Z125" s="62" t="n">
        <f aca="false">Assumptions!$C$56*MIN(Z117,Assumptions!Z$201)+Assumptions!$C$57*MIN(Z117,Assumptions!Z$202)</f>
        <v>941.275296</v>
      </c>
      <c r="AA125" s="62" t="n">
        <f aca="false">Assumptions!$C$56*MIN(AA117,Assumptions!AA$201)+Assumptions!$C$57*MIN(AA117,Assumptions!AA$202)</f>
        <v>941.275296</v>
      </c>
      <c r="AB125" s="62" t="n">
        <f aca="false">Assumptions!$C$56*MIN(AB117,Assumptions!AB$201)+Assumptions!$C$57*MIN(AB117,Assumptions!AB$202)</f>
        <v>941.275296</v>
      </c>
    </row>
    <row r="126" customFormat="false" ht="15" hidden="false" customHeight="false" outlineLevel="0" collapsed="false">
      <c r="A126" s="29" t="s">
        <v>1171</v>
      </c>
      <c r="B126" s="60" t="s">
        <v>1162</v>
      </c>
      <c r="C126" s="61" t="n">
        <f aca="false">SUM(E126:P126)</f>
        <v>0</v>
      </c>
      <c r="D126" s="61" t="n">
        <f aca="false">SUM(Q126:AB126)</f>
        <v>0</v>
      </c>
      <c r="E126" s="71" t="n">
        <f aca="false">0</f>
        <v>0</v>
      </c>
      <c r="F126" s="71" t="n">
        <f aca="false">0</f>
        <v>0</v>
      </c>
      <c r="G126" s="71" t="n">
        <f aca="false">0</f>
        <v>0</v>
      </c>
      <c r="H126" s="71" t="n">
        <f aca="false">0</f>
        <v>0</v>
      </c>
      <c r="I126" s="71" t="n">
        <f aca="false">0</f>
        <v>0</v>
      </c>
      <c r="J126" s="71" t="n">
        <f aca="false">0</f>
        <v>0</v>
      </c>
      <c r="K126" s="71" t="n">
        <f aca="false">0</f>
        <v>0</v>
      </c>
      <c r="L126" s="71" t="n">
        <f aca="false">0</f>
        <v>0</v>
      </c>
      <c r="M126" s="71" t="n">
        <f aca="false">0</f>
        <v>0</v>
      </c>
      <c r="N126" s="71" t="n">
        <f aca="false">0</f>
        <v>0</v>
      </c>
      <c r="O126" s="71" t="n">
        <f aca="false">0</f>
        <v>0</v>
      </c>
      <c r="P126" s="71" t="n">
        <f aca="false">0</f>
        <v>0</v>
      </c>
      <c r="Q126" s="71" t="n">
        <f aca="false">0</f>
        <v>0</v>
      </c>
      <c r="R126" s="71" t="n">
        <f aca="false">0</f>
        <v>0</v>
      </c>
      <c r="S126" s="71" t="n">
        <f aca="false">0</f>
        <v>0</v>
      </c>
      <c r="T126" s="71" t="n">
        <f aca="false">0</f>
        <v>0</v>
      </c>
      <c r="U126" s="71" t="n">
        <f aca="false">0</f>
        <v>0</v>
      </c>
      <c r="V126" s="71" t="n">
        <f aca="false">0</f>
        <v>0</v>
      </c>
      <c r="W126" s="71" t="n">
        <f aca="false">0</f>
        <v>0</v>
      </c>
      <c r="X126" s="71" t="n">
        <f aca="false">0</f>
        <v>0</v>
      </c>
      <c r="Y126" s="71" t="n">
        <f aca="false">0</f>
        <v>0</v>
      </c>
      <c r="Z126" s="71" t="n">
        <f aca="false">0</f>
        <v>0</v>
      </c>
      <c r="AA126" s="71" t="n">
        <f aca="false">0</f>
        <v>0</v>
      </c>
      <c r="AB126" s="71" t="n">
        <f aca="false">0</f>
        <v>0</v>
      </c>
    </row>
    <row r="127" customFormat="false" ht="15" hidden="false" customHeight="false" outlineLevel="0" collapsed="false">
      <c r="A127" s="29" t="s">
        <v>1172</v>
      </c>
      <c r="B127" s="60" t="s">
        <v>1164</v>
      </c>
      <c r="C127" s="61" t="n">
        <f aca="false">SUM(E127:P127)</f>
        <v>17596.449</v>
      </c>
      <c r="D127" s="61" t="n">
        <f aca="false">SUM(Q127:AB127)</f>
        <v>18727.59096</v>
      </c>
      <c r="E127" s="62" t="n">
        <f aca="false">Assumptions!$C$58*MIN(E111,Assumptions!E$201)+Assumptions!$C$59*MIN(E111,Assumptions!E$202)</f>
        <v>1466.37075</v>
      </c>
      <c r="F127" s="62" t="n">
        <f aca="false">Assumptions!$C$58*MIN(F111,Assumptions!F$201)+Assumptions!$C$59*MIN(F111,Assumptions!F$202)</f>
        <v>1466.37075</v>
      </c>
      <c r="G127" s="62" t="n">
        <f aca="false">Assumptions!$C$58*MIN(G111,Assumptions!G$201)+Assumptions!$C$59*MIN(G111,Assumptions!G$202)</f>
        <v>1466.37075</v>
      </c>
      <c r="H127" s="62" t="n">
        <f aca="false">Assumptions!$C$58*MIN(H111,Assumptions!H$201)+Assumptions!$C$59*MIN(H111,Assumptions!H$202)</f>
        <v>1466.37075</v>
      </c>
      <c r="I127" s="62" t="n">
        <f aca="false">Assumptions!$C$58*MIN(I111,Assumptions!I$201)+Assumptions!$C$59*MIN(I111,Assumptions!I$202)</f>
        <v>1466.37075</v>
      </c>
      <c r="J127" s="62" t="n">
        <f aca="false">Assumptions!$C$58*MIN(J111,Assumptions!J$201)+Assumptions!$C$59*MIN(J111,Assumptions!J$202)</f>
        <v>1466.37075</v>
      </c>
      <c r="K127" s="62" t="n">
        <f aca="false">Assumptions!$C$58*MIN(K111,Assumptions!K$201)+Assumptions!$C$59*MIN(K111,Assumptions!K$202)</f>
        <v>1466.37075</v>
      </c>
      <c r="L127" s="62" t="n">
        <f aca="false">Assumptions!$C$58*MIN(L111,Assumptions!L$201)+Assumptions!$C$59*MIN(L111,Assumptions!L$202)</f>
        <v>1466.37075</v>
      </c>
      <c r="M127" s="62" t="n">
        <f aca="false">Assumptions!$C$58*MIN(M111,Assumptions!M$201)+Assumptions!$C$59*MIN(M111,Assumptions!M$202)</f>
        <v>1466.37075</v>
      </c>
      <c r="N127" s="62" t="n">
        <f aca="false">Assumptions!$C$58*MIN(N111,Assumptions!N$201)+Assumptions!$C$59*MIN(N111,Assumptions!N$202)</f>
        <v>1466.37075</v>
      </c>
      <c r="O127" s="62" t="n">
        <f aca="false">Assumptions!$C$58*MIN(O111,Assumptions!O$201)+Assumptions!$C$59*MIN(O111,Assumptions!O$202)</f>
        <v>1466.37075</v>
      </c>
      <c r="P127" s="62" t="n">
        <f aca="false">Assumptions!$C$58*MIN(P111,Assumptions!P$201)+Assumptions!$C$59*MIN(P111,Assumptions!P$202)</f>
        <v>1466.37075</v>
      </c>
      <c r="Q127" s="62" t="n">
        <f aca="false">Assumptions!$C$58*MIN(Q111,Assumptions!Q$201)+Assumptions!$C$59*MIN(Q111,Assumptions!Q$202)</f>
        <v>1560.63258</v>
      </c>
      <c r="R127" s="62" t="n">
        <f aca="false">Assumptions!$C$58*MIN(R111,Assumptions!R$201)+Assumptions!$C$59*MIN(R111,Assumptions!R$202)</f>
        <v>1560.63258</v>
      </c>
      <c r="S127" s="62" t="n">
        <f aca="false">Assumptions!$C$58*MIN(S111,Assumptions!S$201)+Assumptions!$C$59*MIN(S111,Assumptions!S$202)</f>
        <v>1560.63258</v>
      </c>
      <c r="T127" s="62" t="n">
        <f aca="false">Assumptions!$C$58*MIN(T111,Assumptions!T$201)+Assumptions!$C$59*MIN(T111,Assumptions!T$202)</f>
        <v>1560.63258</v>
      </c>
      <c r="U127" s="62" t="n">
        <f aca="false">Assumptions!$C$58*MIN(U111,Assumptions!U$201)+Assumptions!$C$59*MIN(U111,Assumptions!U$202)</f>
        <v>1560.63258</v>
      </c>
      <c r="V127" s="62" t="n">
        <f aca="false">Assumptions!$C$58*MIN(V111,Assumptions!V$201)+Assumptions!$C$59*MIN(V111,Assumptions!V$202)</f>
        <v>1560.63258</v>
      </c>
      <c r="W127" s="62" t="n">
        <f aca="false">Assumptions!$C$58*MIN(W111,Assumptions!W$201)+Assumptions!$C$59*MIN(W111,Assumptions!W$202)</f>
        <v>1560.63258</v>
      </c>
      <c r="X127" s="62" t="n">
        <f aca="false">Assumptions!$C$58*MIN(X111,Assumptions!X$201)+Assumptions!$C$59*MIN(X111,Assumptions!X$202)</f>
        <v>1560.63258</v>
      </c>
      <c r="Y127" s="62" t="n">
        <f aca="false">Assumptions!$C$58*MIN(Y111,Assumptions!Y$201)+Assumptions!$C$59*MIN(Y111,Assumptions!Y$202)</f>
        <v>1560.63258</v>
      </c>
      <c r="Z127" s="62" t="n">
        <f aca="false">Assumptions!$C$58*MIN(Z111,Assumptions!Z$201)+Assumptions!$C$59*MIN(Z111,Assumptions!Z$202)</f>
        <v>1560.63258</v>
      </c>
      <c r="AA127" s="62" t="n">
        <f aca="false">Assumptions!$C$58*MIN(AA111,Assumptions!AA$201)+Assumptions!$C$59*MIN(AA111,Assumptions!AA$202)</f>
        <v>1560.63258</v>
      </c>
      <c r="AB127" s="62" t="n">
        <f aca="false">Assumptions!$C$58*MIN(AB111,Assumptions!AB$201)+Assumptions!$C$59*MIN(AB111,Assumptions!AB$202)</f>
        <v>1560.63258</v>
      </c>
    </row>
    <row r="128" customFormat="false" ht="15" hidden="false" customHeight="false" outlineLevel="0" collapsed="false">
      <c r="A128" s="29" t="s">
        <v>1173</v>
      </c>
      <c r="B128" s="60" t="s">
        <v>1164</v>
      </c>
      <c r="C128" s="61" t="n">
        <f aca="false">SUM(E128:P128)</f>
        <v>12192.3</v>
      </c>
      <c r="D128" s="61" t="n">
        <f aca="false">SUM(Q128:AB128)</f>
        <v>12679.992</v>
      </c>
      <c r="E128" s="62" t="n">
        <f aca="false">Assumptions!$C$58*MIN(E112,Assumptions!E$201)+Assumptions!$C$59*MIN(E112,Assumptions!E$202)</f>
        <v>1016.025</v>
      </c>
      <c r="F128" s="62" t="n">
        <f aca="false">Assumptions!$C$58*MIN(F112,Assumptions!F$201)+Assumptions!$C$59*MIN(F112,Assumptions!F$202)</f>
        <v>1016.025</v>
      </c>
      <c r="G128" s="62" t="n">
        <f aca="false">Assumptions!$C$58*MIN(G112,Assumptions!G$201)+Assumptions!$C$59*MIN(G112,Assumptions!G$202)</f>
        <v>1016.025</v>
      </c>
      <c r="H128" s="62" t="n">
        <f aca="false">Assumptions!$C$58*MIN(H112,Assumptions!H$201)+Assumptions!$C$59*MIN(H112,Assumptions!H$202)</f>
        <v>1016.025</v>
      </c>
      <c r="I128" s="62" t="n">
        <f aca="false">Assumptions!$C$58*MIN(I112,Assumptions!I$201)+Assumptions!$C$59*MIN(I112,Assumptions!I$202)</f>
        <v>1016.025</v>
      </c>
      <c r="J128" s="62" t="n">
        <f aca="false">Assumptions!$C$58*MIN(J112,Assumptions!J$201)+Assumptions!$C$59*MIN(J112,Assumptions!J$202)</f>
        <v>1016.025</v>
      </c>
      <c r="K128" s="62" t="n">
        <f aca="false">Assumptions!$C$58*MIN(K112,Assumptions!K$201)+Assumptions!$C$59*MIN(K112,Assumptions!K$202)</f>
        <v>1016.025</v>
      </c>
      <c r="L128" s="62" t="n">
        <f aca="false">Assumptions!$C$58*MIN(L112,Assumptions!L$201)+Assumptions!$C$59*MIN(L112,Assumptions!L$202)</f>
        <v>1016.025</v>
      </c>
      <c r="M128" s="62" t="n">
        <f aca="false">Assumptions!$C$58*MIN(M112,Assumptions!M$201)+Assumptions!$C$59*MIN(M112,Assumptions!M$202)</f>
        <v>1016.025</v>
      </c>
      <c r="N128" s="62" t="n">
        <f aca="false">Assumptions!$C$58*MIN(N112,Assumptions!N$201)+Assumptions!$C$59*MIN(N112,Assumptions!N$202)</f>
        <v>1016.025</v>
      </c>
      <c r="O128" s="62" t="n">
        <f aca="false">Assumptions!$C$58*MIN(O112,Assumptions!O$201)+Assumptions!$C$59*MIN(O112,Assumptions!O$202)</f>
        <v>1016.025</v>
      </c>
      <c r="P128" s="62" t="n">
        <f aca="false">Assumptions!$C$58*MIN(P112,Assumptions!P$201)+Assumptions!$C$59*MIN(P112,Assumptions!P$202)</f>
        <v>1016.025</v>
      </c>
      <c r="Q128" s="62" t="n">
        <f aca="false">Assumptions!$C$58*MIN(Q112,Assumptions!Q$201)+Assumptions!$C$59*MIN(Q112,Assumptions!Q$202)</f>
        <v>1056.666</v>
      </c>
      <c r="R128" s="62" t="n">
        <f aca="false">Assumptions!$C$58*MIN(R112,Assumptions!R$201)+Assumptions!$C$59*MIN(R112,Assumptions!R$202)</f>
        <v>1056.666</v>
      </c>
      <c r="S128" s="62" t="n">
        <f aca="false">Assumptions!$C$58*MIN(S112,Assumptions!S$201)+Assumptions!$C$59*MIN(S112,Assumptions!S$202)</f>
        <v>1056.666</v>
      </c>
      <c r="T128" s="62" t="n">
        <f aca="false">Assumptions!$C$58*MIN(T112,Assumptions!T$201)+Assumptions!$C$59*MIN(T112,Assumptions!T$202)</f>
        <v>1056.666</v>
      </c>
      <c r="U128" s="62" t="n">
        <f aca="false">Assumptions!$C$58*MIN(U112,Assumptions!U$201)+Assumptions!$C$59*MIN(U112,Assumptions!U$202)</f>
        <v>1056.666</v>
      </c>
      <c r="V128" s="62" t="n">
        <f aca="false">Assumptions!$C$58*MIN(V112,Assumptions!V$201)+Assumptions!$C$59*MIN(V112,Assumptions!V$202)</f>
        <v>1056.666</v>
      </c>
      <c r="W128" s="62" t="n">
        <f aca="false">Assumptions!$C$58*MIN(W112,Assumptions!W$201)+Assumptions!$C$59*MIN(W112,Assumptions!W$202)</f>
        <v>1056.666</v>
      </c>
      <c r="X128" s="62" t="n">
        <f aca="false">Assumptions!$C$58*MIN(X112,Assumptions!X$201)+Assumptions!$C$59*MIN(X112,Assumptions!X$202)</f>
        <v>1056.666</v>
      </c>
      <c r="Y128" s="62" t="n">
        <f aca="false">Assumptions!$C$58*MIN(Y112,Assumptions!Y$201)+Assumptions!$C$59*MIN(Y112,Assumptions!Y$202)</f>
        <v>1056.666</v>
      </c>
      <c r="Z128" s="62" t="n">
        <f aca="false">Assumptions!$C$58*MIN(Z112,Assumptions!Z$201)+Assumptions!$C$59*MIN(Z112,Assumptions!Z$202)</f>
        <v>1056.666</v>
      </c>
      <c r="AA128" s="62" t="n">
        <f aca="false">Assumptions!$C$58*MIN(AA112,Assumptions!AA$201)+Assumptions!$C$59*MIN(AA112,Assumptions!AA$202)</f>
        <v>1056.666</v>
      </c>
      <c r="AB128" s="62" t="n">
        <f aca="false">Assumptions!$C$58*MIN(AB112,Assumptions!AB$201)+Assumptions!$C$59*MIN(AB112,Assumptions!AB$202)</f>
        <v>1056.666</v>
      </c>
    </row>
    <row r="129" customFormat="false" ht="15" hidden="false" customHeight="false" outlineLevel="0" collapsed="false">
      <c r="A129" s="29" t="s">
        <v>1174</v>
      </c>
      <c r="B129" s="60" t="s">
        <v>1164</v>
      </c>
      <c r="C129" s="61" t="n">
        <f aca="false">SUM(E129:P129)</f>
        <v>14117.4</v>
      </c>
      <c r="D129" s="61" t="n">
        <f aca="false">SUM(Q129:AB129)</f>
        <v>14682.096</v>
      </c>
      <c r="E129" s="62" t="n">
        <f aca="false">Assumptions!$C$58*MIN(E113,Assumptions!E$201)+Assumptions!$C$59*MIN(E113,Assumptions!E$202)</f>
        <v>1176.45</v>
      </c>
      <c r="F129" s="62" t="n">
        <f aca="false">Assumptions!$C$58*MIN(F113,Assumptions!F$201)+Assumptions!$C$59*MIN(F113,Assumptions!F$202)</f>
        <v>1176.45</v>
      </c>
      <c r="G129" s="62" t="n">
        <f aca="false">Assumptions!$C$58*MIN(G113,Assumptions!G$201)+Assumptions!$C$59*MIN(G113,Assumptions!G$202)</f>
        <v>1176.45</v>
      </c>
      <c r="H129" s="62" t="n">
        <f aca="false">Assumptions!$C$58*MIN(H113,Assumptions!H$201)+Assumptions!$C$59*MIN(H113,Assumptions!H$202)</f>
        <v>1176.45</v>
      </c>
      <c r="I129" s="62" t="n">
        <f aca="false">Assumptions!$C$58*MIN(I113,Assumptions!I$201)+Assumptions!$C$59*MIN(I113,Assumptions!I$202)</f>
        <v>1176.45</v>
      </c>
      <c r="J129" s="62" t="n">
        <f aca="false">Assumptions!$C$58*MIN(J113,Assumptions!J$201)+Assumptions!$C$59*MIN(J113,Assumptions!J$202)</f>
        <v>1176.45</v>
      </c>
      <c r="K129" s="62" t="n">
        <f aca="false">Assumptions!$C$58*MIN(K113,Assumptions!K$201)+Assumptions!$C$59*MIN(K113,Assumptions!K$202)</f>
        <v>1176.45</v>
      </c>
      <c r="L129" s="62" t="n">
        <f aca="false">Assumptions!$C$58*MIN(L113,Assumptions!L$201)+Assumptions!$C$59*MIN(L113,Assumptions!L$202)</f>
        <v>1176.45</v>
      </c>
      <c r="M129" s="62" t="n">
        <f aca="false">Assumptions!$C$58*MIN(M113,Assumptions!M$201)+Assumptions!$C$59*MIN(M113,Assumptions!M$202)</f>
        <v>1176.45</v>
      </c>
      <c r="N129" s="62" t="n">
        <f aca="false">Assumptions!$C$58*MIN(N113,Assumptions!N$201)+Assumptions!$C$59*MIN(N113,Assumptions!N$202)</f>
        <v>1176.45</v>
      </c>
      <c r="O129" s="62" t="n">
        <f aca="false">Assumptions!$C$58*MIN(O113,Assumptions!O$201)+Assumptions!$C$59*MIN(O113,Assumptions!O$202)</f>
        <v>1176.45</v>
      </c>
      <c r="P129" s="62" t="n">
        <f aca="false">Assumptions!$C$58*MIN(P113,Assumptions!P$201)+Assumptions!$C$59*MIN(P113,Assumptions!P$202)</f>
        <v>1176.45</v>
      </c>
      <c r="Q129" s="62" t="n">
        <f aca="false">Assumptions!$C$58*MIN(Q113,Assumptions!Q$201)+Assumptions!$C$59*MIN(Q113,Assumptions!Q$202)</f>
        <v>1223.508</v>
      </c>
      <c r="R129" s="62" t="n">
        <f aca="false">Assumptions!$C$58*MIN(R113,Assumptions!R$201)+Assumptions!$C$59*MIN(R113,Assumptions!R$202)</f>
        <v>1223.508</v>
      </c>
      <c r="S129" s="62" t="n">
        <f aca="false">Assumptions!$C$58*MIN(S113,Assumptions!S$201)+Assumptions!$C$59*MIN(S113,Assumptions!S$202)</f>
        <v>1223.508</v>
      </c>
      <c r="T129" s="62" t="n">
        <f aca="false">Assumptions!$C$58*MIN(T113,Assumptions!T$201)+Assumptions!$C$59*MIN(T113,Assumptions!T$202)</f>
        <v>1223.508</v>
      </c>
      <c r="U129" s="62" t="n">
        <f aca="false">Assumptions!$C$58*MIN(U113,Assumptions!U$201)+Assumptions!$C$59*MIN(U113,Assumptions!U$202)</f>
        <v>1223.508</v>
      </c>
      <c r="V129" s="62" t="n">
        <f aca="false">Assumptions!$C$58*MIN(V113,Assumptions!V$201)+Assumptions!$C$59*MIN(V113,Assumptions!V$202)</f>
        <v>1223.508</v>
      </c>
      <c r="W129" s="62" t="n">
        <f aca="false">Assumptions!$C$58*MIN(W113,Assumptions!W$201)+Assumptions!$C$59*MIN(W113,Assumptions!W$202)</f>
        <v>1223.508</v>
      </c>
      <c r="X129" s="62" t="n">
        <f aca="false">Assumptions!$C$58*MIN(X113,Assumptions!X$201)+Assumptions!$C$59*MIN(X113,Assumptions!X$202)</f>
        <v>1223.508</v>
      </c>
      <c r="Y129" s="62" t="n">
        <f aca="false">Assumptions!$C$58*MIN(Y113,Assumptions!Y$201)+Assumptions!$C$59*MIN(Y113,Assumptions!Y$202)</f>
        <v>1223.508</v>
      </c>
      <c r="Z129" s="62" t="n">
        <f aca="false">Assumptions!$C$58*MIN(Z113,Assumptions!Z$201)+Assumptions!$C$59*MIN(Z113,Assumptions!Z$202)</f>
        <v>1223.508</v>
      </c>
      <c r="AA129" s="62" t="n">
        <f aca="false">Assumptions!$C$58*MIN(AA113,Assumptions!AA$201)+Assumptions!$C$59*MIN(AA113,Assumptions!AA$202)</f>
        <v>1223.508</v>
      </c>
      <c r="AB129" s="62" t="n">
        <f aca="false">Assumptions!$C$58*MIN(AB113,Assumptions!AB$201)+Assumptions!$C$59*MIN(AB113,Assumptions!AB$202)</f>
        <v>1223.508</v>
      </c>
    </row>
    <row r="130" customFormat="false" ht="15" hidden="false" customHeight="false" outlineLevel="0" collapsed="false">
      <c r="A130" s="29" t="s">
        <v>1175</v>
      </c>
      <c r="B130" s="60" t="s">
        <v>1164</v>
      </c>
      <c r="C130" s="61" t="n">
        <f aca="false">SUM(E130:P130)</f>
        <v>10267.2</v>
      </c>
      <c r="D130" s="61" t="n">
        <f aca="false">SUM(Q130:AB130)</f>
        <v>10677.888</v>
      </c>
      <c r="E130" s="62" t="n">
        <f aca="false">Assumptions!$C$58*MIN(E114,Assumptions!E$201)+Assumptions!$C$59*MIN(E114,Assumptions!E$202)</f>
        <v>855.6</v>
      </c>
      <c r="F130" s="62" t="n">
        <f aca="false">Assumptions!$C$58*MIN(F114,Assumptions!F$201)+Assumptions!$C$59*MIN(F114,Assumptions!F$202)</f>
        <v>855.6</v>
      </c>
      <c r="G130" s="62" t="n">
        <f aca="false">Assumptions!$C$58*MIN(G114,Assumptions!G$201)+Assumptions!$C$59*MIN(G114,Assumptions!G$202)</f>
        <v>855.6</v>
      </c>
      <c r="H130" s="62" t="n">
        <f aca="false">Assumptions!$C$58*MIN(H114,Assumptions!H$201)+Assumptions!$C$59*MIN(H114,Assumptions!H$202)</f>
        <v>855.6</v>
      </c>
      <c r="I130" s="62" t="n">
        <f aca="false">Assumptions!$C$58*MIN(I114,Assumptions!I$201)+Assumptions!$C$59*MIN(I114,Assumptions!I$202)</f>
        <v>855.6</v>
      </c>
      <c r="J130" s="62" t="n">
        <f aca="false">Assumptions!$C$58*MIN(J114,Assumptions!J$201)+Assumptions!$C$59*MIN(J114,Assumptions!J$202)</f>
        <v>855.6</v>
      </c>
      <c r="K130" s="62" t="n">
        <f aca="false">Assumptions!$C$58*MIN(K114,Assumptions!K$201)+Assumptions!$C$59*MIN(K114,Assumptions!K$202)</f>
        <v>855.6</v>
      </c>
      <c r="L130" s="62" t="n">
        <f aca="false">Assumptions!$C$58*MIN(L114,Assumptions!L$201)+Assumptions!$C$59*MIN(L114,Assumptions!L$202)</f>
        <v>855.6</v>
      </c>
      <c r="M130" s="62" t="n">
        <f aca="false">Assumptions!$C$58*MIN(M114,Assumptions!M$201)+Assumptions!$C$59*MIN(M114,Assumptions!M$202)</f>
        <v>855.6</v>
      </c>
      <c r="N130" s="62" t="n">
        <f aca="false">Assumptions!$C$58*MIN(N114,Assumptions!N$201)+Assumptions!$C$59*MIN(N114,Assumptions!N$202)</f>
        <v>855.6</v>
      </c>
      <c r="O130" s="62" t="n">
        <f aca="false">Assumptions!$C$58*MIN(O114,Assumptions!O$201)+Assumptions!$C$59*MIN(O114,Assumptions!O$202)</f>
        <v>855.6</v>
      </c>
      <c r="P130" s="62" t="n">
        <f aca="false">Assumptions!$C$58*MIN(P114,Assumptions!P$201)+Assumptions!$C$59*MIN(P114,Assumptions!P$202)</f>
        <v>855.6</v>
      </c>
      <c r="Q130" s="62" t="n">
        <f aca="false">Assumptions!$C$58*MIN(Q114,Assumptions!Q$201)+Assumptions!$C$59*MIN(Q114,Assumptions!Q$202)</f>
        <v>889.824</v>
      </c>
      <c r="R130" s="62" t="n">
        <f aca="false">Assumptions!$C$58*MIN(R114,Assumptions!R$201)+Assumptions!$C$59*MIN(R114,Assumptions!R$202)</f>
        <v>889.824</v>
      </c>
      <c r="S130" s="62" t="n">
        <f aca="false">Assumptions!$C$58*MIN(S114,Assumptions!S$201)+Assumptions!$C$59*MIN(S114,Assumptions!S$202)</f>
        <v>889.824</v>
      </c>
      <c r="T130" s="62" t="n">
        <f aca="false">Assumptions!$C$58*MIN(T114,Assumptions!T$201)+Assumptions!$C$59*MIN(T114,Assumptions!T$202)</f>
        <v>889.824</v>
      </c>
      <c r="U130" s="62" t="n">
        <f aca="false">Assumptions!$C$58*MIN(U114,Assumptions!U$201)+Assumptions!$C$59*MIN(U114,Assumptions!U$202)</f>
        <v>889.824</v>
      </c>
      <c r="V130" s="62" t="n">
        <f aca="false">Assumptions!$C$58*MIN(V114,Assumptions!V$201)+Assumptions!$C$59*MIN(V114,Assumptions!V$202)</f>
        <v>889.824</v>
      </c>
      <c r="W130" s="62" t="n">
        <f aca="false">Assumptions!$C$58*MIN(W114,Assumptions!W$201)+Assumptions!$C$59*MIN(W114,Assumptions!W$202)</f>
        <v>889.824</v>
      </c>
      <c r="X130" s="62" t="n">
        <f aca="false">Assumptions!$C$58*MIN(X114,Assumptions!X$201)+Assumptions!$C$59*MIN(X114,Assumptions!X$202)</f>
        <v>889.824</v>
      </c>
      <c r="Y130" s="62" t="n">
        <f aca="false">Assumptions!$C$58*MIN(Y114,Assumptions!Y$201)+Assumptions!$C$59*MIN(Y114,Assumptions!Y$202)</f>
        <v>889.824</v>
      </c>
      <c r="Z130" s="62" t="n">
        <f aca="false">Assumptions!$C$58*MIN(Z114,Assumptions!Z$201)+Assumptions!$C$59*MIN(Z114,Assumptions!Z$202)</f>
        <v>889.824</v>
      </c>
      <c r="AA130" s="62" t="n">
        <f aca="false">Assumptions!$C$58*MIN(AA114,Assumptions!AA$201)+Assumptions!$C$59*MIN(AA114,Assumptions!AA$202)</f>
        <v>889.824</v>
      </c>
      <c r="AB130" s="62" t="n">
        <f aca="false">Assumptions!$C$58*MIN(AB114,Assumptions!AB$201)+Assumptions!$C$59*MIN(AB114,Assumptions!AB$202)</f>
        <v>889.824</v>
      </c>
    </row>
    <row r="131" customFormat="false" ht="15" hidden="false" customHeight="false" outlineLevel="0" collapsed="false">
      <c r="A131" s="29" t="s">
        <v>1176</v>
      </c>
      <c r="B131" s="60" t="s">
        <v>1164</v>
      </c>
      <c r="C131" s="61" t="n">
        <f aca="false">SUM(E131:P131)</f>
        <v>12834</v>
      </c>
      <c r="D131" s="61" t="n">
        <f aca="false">SUM(Q131:AB131)</f>
        <v>13347.36</v>
      </c>
      <c r="E131" s="62" t="n">
        <f aca="false">Assumptions!$C$58*MIN(E115,Assumptions!E$201)+Assumptions!$C$59*MIN(E115,Assumptions!E$202)</f>
        <v>1069.5</v>
      </c>
      <c r="F131" s="62" t="n">
        <f aca="false">Assumptions!$C$58*MIN(F115,Assumptions!F$201)+Assumptions!$C$59*MIN(F115,Assumptions!F$202)</f>
        <v>1069.5</v>
      </c>
      <c r="G131" s="62" t="n">
        <f aca="false">Assumptions!$C$58*MIN(G115,Assumptions!G$201)+Assumptions!$C$59*MIN(G115,Assumptions!G$202)</f>
        <v>1069.5</v>
      </c>
      <c r="H131" s="62" t="n">
        <f aca="false">Assumptions!$C$58*MIN(H115,Assumptions!H$201)+Assumptions!$C$59*MIN(H115,Assumptions!H$202)</f>
        <v>1069.5</v>
      </c>
      <c r="I131" s="62" t="n">
        <f aca="false">Assumptions!$C$58*MIN(I115,Assumptions!I$201)+Assumptions!$C$59*MIN(I115,Assumptions!I$202)</f>
        <v>1069.5</v>
      </c>
      <c r="J131" s="62" t="n">
        <f aca="false">Assumptions!$C$58*MIN(J115,Assumptions!J$201)+Assumptions!$C$59*MIN(J115,Assumptions!J$202)</f>
        <v>1069.5</v>
      </c>
      <c r="K131" s="62" t="n">
        <f aca="false">Assumptions!$C$58*MIN(K115,Assumptions!K$201)+Assumptions!$C$59*MIN(K115,Assumptions!K$202)</f>
        <v>1069.5</v>
      </c>
      <c r="L131" s="62" t="n">
        <f aca="false">Assumptions!$C$58*MIN(L115,Assumptions!L$201)+Assumptions!$C$59*MIN(L115,Assumptions!L$202)</f>
        <v>1069.5</v>
      </c>
      <c r="M131" s="62" t="n">
        <f aca="false">Assumptions!$C$58*MIN(M115,Assumptions!M$201)+Assumptions!$C$59*MIN(M115,Assumptions!M$202)</f>
        <v>1069.5</v>
      </c>
      <c r="N131" s="62" t="n">
        <f aca="false">Assumptions!$C$58*MIN(N115,Assumptions!N$201)+Assumptions!$C$59*MIN(N115,Assumptions!N$202)</f>
        <v>1069.5</v>
      </c>
      <c r="O131" s="62" t="n">
        <f aca="false">Assumptions!$C$58*MIN(O115,Assumptions!O$201)+Assumptions!$C$59*MIN(O115,Assumptions!O$202)</f>
        <v>1069.5</v>
      </c>
      <c r="P131" s="62" t="n">
        <f aca="false">Assumptions!$C$58*MIN(P115,Assumptions!P$201)+Assumptions!$C$59*MIN(P115,Assumptions!P$202)</f>
        <v>1069.5</v>
      </c>
      <c r="Q131" s="62" t="n">
        <f aca="false">Assumptions!$C$58*MIN(Q115,Assumptions!Q$201)+Assumptions!$C$59*MIN(Q115,Assumptions!Q$202)</f>
        <v>1112.28</v>
      </c>
      <c r="R131" s="62" t="n">
        <f aca="false">Assumptions!$C$58*MIN(R115,Assumptions!R$201)+Assumptions!$C$59*MIN(R115,Assumptions!R$202)</f>
        <v>1112.28</v>
      </c>
      <c r="S131" s="62" t="n">
        <f aca="false">Assumptions!$C$58*MIN(S115,Assumptions!S$201)+Assumptions!$C$59*MIN(S115,Assumptions!S$202)</f>
        <v>1112.28</v>
      </c>
      <c r="T131" s="62" t="n">
        <f aca="false">Assumptions!$C$58*MIN(T115,Assumptions!T$201)+Assumptions!$C$59*MIN(T115,Assumptions!T$202)</f>
        <v>1112.28</v>
      </c>
      <c r="U131" s="62" t="n">
        <f aca="false">Assumptions!$C$58*MIN(U115,Assumptions!U$201)+Assumptions!$C$59*MIN(U115,Assumptions!U$202)</f>
        <v>1112.28</v>
      </c>
      <c r="V131" s="62" t="n">
        <f aca="false">Assumptions!$C$58*MIN(V115,Assumptions!V$201)+Assumptions!$C$59*MIN(V115,Assumptions!V$202)</f>
        <v>1112.28</v>
      </c>
      <c r="W131" s="62" t="n">
        <f aca="false">Assumptions!$C$58*MIN(W115,Assumptions!W$201)+Assumptions!$C$59*MIN(W115,Assumptions!W$202)</f>
        <v>1112.28</v>
      </c>
      <c r="X131" s="62" t="n">
        <f aca="false">Assumptions!$C$58*MIN(X115,Assumptions!X$201)+Assumptions!$C$59*MIN(X115,Assumptions!X$202)</f>
        <v>1112.28</v>
      </c>
      <c r="Y131" s="62" t="n">
        <f aca="false">Assumptions!$C$58*MIN(Y115,Assumptions!Y$201)+Assumptions!$C$59*MIN(Y115,Assumptions!Y$202)</f>
        <v>1112.28</v>
      </c>
      <c r="Z131" s="62" t="n">
        <f aca="false">Assumptions!$C$58*MIN(Z115,Assumptions!Z$201)+Assumptions!$C$59*MIN(Z115,Assumptions!Z$202)</f>
        <v>1112.28</v>
      </c>
      <c r="AA131" s="62" t="n">
        <f aca="false">Assumptions!$C$58*MIN(AA115,Assumptions!AA$201)+Assumptions!$C$59*MIN(AA115,Assumptions!AA$202)</f>
        <v>1112.28</v>
      </c>
      <c r="AB131" s="62" t="n">
        <f aca="false">Assumptions!$C$58*MIN(AB115,Assumptions!AB$201)+Assumptions!$C$59*MIN(AB115,Assumptions!AB$202)</f>
        <v>1112.28</v>
      </c>
    </row>
    <row r="132" customFormat="false" ht="15" hidden="false" customHeight="false" outlineLevel="0" collapsed="false">
      <c r="A132" s="29" t="s">
        <v>1177</v>
      </c>
      <c r="B132" s="60" t="s">
        <v>1164</v>
      </c>
      <c r="C132" s="61" t="n">
        <f aca="false">SUM(E132:P132)</f>
        <v>12620.9556</v>
      </c>
      <c r="D132" s="61" t="n">
        <f aca="false">SUM(Q132:AB132)</f>
        <v>13125.793824</v>
      </c>
      <c r="E132" s="62" t="n">
        <f aca="false">Assumptions!$C$58*MIN(E116,Assumptions!E$201)+Assumptions!$C$59*MIN(E116,Assumptions!E$202)</f>
        <v>1051.7463</v>
      </c>
      <c r="F132" s="62" t="n">
        <f aca="false">Assumptions!$C$58*MIN(F116,Assumptions!F$201)+Assumptions!$C$59*MIN(F116,Assumptions!F$202)</f>
        <v>1051.7463</v>
      </c>
      <c r="G132" s="62" t="n">
        <f aca="false">Assumptions!$C$58*MIN(G116,Assumptions!G$201)+Assumptions!$C$59*MIN(G116,Assumptions!G$202)</f>
        <v>1051.7463</v>
      </c>
      <c r="H132" s="62" t="n">
        <f aca="false">Assumptions!$C$58*MIN(H116,Assumptions!H$201)+Assumptions!$C$59*MIN(H116,Assumptions!H$202)</f>
        <v>1051.7463</v>
      </c>
      <c r="I132" s="62" t="n">
        <f aca="false">Assumptions!$C$58*MIN(I116,Assumptions!I$201)+Assumptions!$C$59*MIN(I116,Assumptions!I$202)</f>
        <v>1051.7463</v>
      </c>
      <c r="J132" s="62" t="n">
        <f aca="false">Assumptions!$C$58*MIN(J116,Assumptions!J$201)+Assumptions!$C$59*MIN(J116,Assumptions!J$202)</f>
        <v>1051.7463</v>
      </c>
      <c r="K132" s="62" t="n">
        <f aca="false">Assumptions!$C$58*MIN(K116,Assumptions!K$201)+Assumptions!$C$59*MIN(K116,Assumptions!K$202)</f>
        <v>1051.7463</v>
      </c>
      <c r="L132" s="62" t="n">
        <f aca="false">Assumptions!$C$58*MIN(L116,Assumptions!L$201)+Assumptions!$C$59*MIN(L116,Assumptions!L$202)</f>
        <v>1051.7463</v>
      </c>
      <c r="M132" s="62" t="n">
        <f aca="false">Assumptions!$C$58*MIN(M116,Assumptions!M$201)+Assumptions!$C$59*MIN(M116,Assumptions!M$202)</f>
        <v>1051.7463</v>
      </c>
      <c r="N132" s="62" t="n">
        <f aca="false">Assumptions!$C$58*MIN(N116,Assumptions!N$201)+Assumptions!$C$59*MIN(N116,Assumptions!N$202)</f>
        <v>1051.7463</v>
      </c>
      <c r="O132" s="62" t="n">
        <f aca="false">Assumptions!$C$58*MIN(O116,Assumptions!O$201)+Assumptions!$C$59*MIN(O116,Assumptions!O$202)</f>
        <v>1051.7463</v>
      </c>
      <c r="P132" s="62" t="n">
        <f aca="false">Assumptions!$C$58*MIN(P116,Assumptions!P$201)+Assumptions!$C$59*MIN(P116,Assumptions!P$202)</f>
        <v>1051.7463</v>
      </c>
      <c r="Q132" s="62" t="n">
        <f aca="false">Assumptions!$C$58*MIN(Q116,Assumptions!Q$201)+Assumptions!$C$59*MIN(Q116,Assumptions!Q$202)</f>
        <v>1093.816152</v>
      </c>
      <c r="R132" s="62" t="n">
        <f aca="false">Assumptions!$C$58*MIN(R116,Assumptions!R$201)+Assumptions!$C$59*MIN(R116,Assumptions!R$202)</f>
        <v>1093.816152</v>
      </c>
      <c r="S132" s="62" t="n">
        <f aca="false">Assumptions!$C$58*MIN(S116,Assumptions!S$201)+Assumptions!$C$59*MIN(S116,Assumptions!S$202)</f>
        <v>1093.816152</v>
      </c>
      <c r="T132" s="62" t="n">
        <f aca="false">Assumptions!$C$58*MIN(T116,Assumptions!T$201)+Assumptions!$C$59*MIN(T116,Assumptions!T$202)</f>
        <v>1093.816152</v>
      </c>
      <c r="U132" s="62" t="n">
        <f aca="false">Assumptions!$C$58*MIN(U116,Assumptions!U$201)+Assumptions!$C$59*MIN(U116,Assumptions!U$202)</f>
        <v>1093.816152</v>
      </c>
      <c r="V132" s="62" t="n">
        <f aca="false">Assumptions!$C$58*MIN(V116,Assumptions!V$201)+Assumptions!$C$59*MIN(V116,Assumptions!V$202)</f>
        <v>1093.816152</v>
      </c>
      <c r="W132" s="62" t="n">
        <f aca="false">Assumptions!$C$58*MIN(W116,Assumptions!W$201)+Assumptions!$C$59*MIN(W116,Assumptions!W$202)</f>
        <v>1093.816152</v>
      </c>
      <c r="X132" s="62" t="n">
        <f aca="false">Assumptions!$C$58*MIN(X116,Assumptions!X$201)+Assumptions!$C$59*MIN(X116,Assumptions!X$202)</f>
        <v>1093.816152</v>
      </c>
      <c r="Y132" s="62" t="n">
        <f aca="false">Assumptions!$C$58*MIN(Y116,Assumptions!Y$201)+Assumptions!$C$59*MIN(Y116,Assumptions!Y$202)</f>
        <v>1093.816152</v>
      </c>
      <c r="Z132" s="62" t="n">
        <f aca="false">Assumptions!$C$58*MIN(Z116,Assumptions!Z$201)+Assumptions!$C$59*MIN(Z116,Assumptions!Z$202)</f>
        <v>1093.816152</v>
      </c>
      <c r="AA132" s="62" t="n">
        <f aca="false">Assumptions!$C$58*MIN(AA116,Assumptions!AA$201)+Assumptions!$C$59*MIN(AA116,Assumptions!AA$202)</f>
        <v>1093.816152</v>
      </c>
      <c r="AB132" s="62" t="n">
        <f aca="false">Assumptions!$C$58*MIN(AB116,Assumptions!AB$201)+Assumptions!$C$59*MIN(AB116,Assumptions!AB$202)</f>
        <v>1093.816152</v>
      </c>
    </row>
    <row r="133" customFormat="false" ht="15" hidden="false" customHeight="false" outlineLevel="0" collapsed="false">
      <c r="A133" s="29" t="s">
        <v>1178</v>
      </c>
      <c r="B133" s="60" t="s">
        <v>1164</v>
      </c>
      <c r="C133" s="61" t="n">
        <f aca="false">SUM(E133:P133)</f>
        <v>10695.8556</v>
      </c>
      <c r="D133" s="61" t="n">
        <f aca="false">SUM(Q133:AB133)</f>
        <v>11123.689824</v>
      </c>
      <c r="E133" s="62" t="n">
        <f aca="false">Assumptions!$C$58*MIN(E117,Assumptions!E$201)+Assumptions!$C$59*MIN(E117,Assumptions!E$202)</f>
        <v>891.3213</v>
      </c>
      <c r="F133" s="62" t="n">
        <f aca="false">Assumptions!$C$58*MIN(F117,Assumptions!F$201)+Assumptions!$C$59*MIN(F117,Assumptions!F$202)</f>
        <v>891.3213</v>
      </c>
      <c r="G133" s="62" t="n">
        <f aca="false">Assumptions!$C$58*MIN(G117,Assumptions!G$201)+Assumptions!$C$59*MIN(G117,Assumptions!G$202)</f>
        <v>891.3213</v>
      </c>
      <c r="H133" s="62" t="n">
        <f aca="false">Assumptions!$C$58*MIN(H117,Assumptions!H$201)+Assumptions!$C$59*MIN(H117,Assumptions!H$202)</f>
        <v>891.3213</v>
      </c>
      <c r="I133" s="62" t="n">
        <f aca="false">Assumptions!$C$58*MIN(I117,Assumptions!I$201)+Assumptions!$C$59*MIN(I117,Assumptions!I$202)</f>
        <v>891.3213</v>
      </c>
      <c r="J133" s="62" t="n">
        <f aca="false">Assumptions!$C$58*MIN(J117,Assumptions!J$201)+Assumptions!$C$59*MIN(J117,Assumptions!J$202)</f>
        <v>891.3213</v>
      </c>
      <c r="K133" s="62" t="n">
        <f aca="false">Assumptions!$C$58*MIN(K117,Assumptions!K$201)+Assumptions!$C$59*MIN(K117,Assumptions!K$202)</f>
        <v>891.3213</v>
      </c>
      <c r="L133" s="62" t="n">
        <f aca="false">Assumptions!$C$58*MIN(L117,Assumptions!L$201)+Assumptions!$C$59*MIN(L117,Assumptions!L$202)</f>
        <v>891.3213</v>
      </c>
      <c r="M133" s="62" t="n">
        <f aca="false">Assumptions!$C$58*MIN(M117,Assumptions!M$201)+Assumptions!$C$59*MIN(M117,Assumptions!M$202)</f>
        <v>891.3213</v>
      </c>
      <c r="N133" s="62" t="n">
        <f aca="false">Assumptions!$C$58*MIN(N117,Assumptions!N$201)+Assumptions!$C$59*MIN(N117,Assumptions!N$202)</f>
        <v>891.3213</v>
      </c>
      <c r="O133" s="62" t="n">
        <f aca="false">Assumptions!$C$58*MIN(O117,Assumptions!O$201)+Assumptions!$C$59*MIN(O117,Assumptions!O$202)</f>
        <v>891.3213</v>
      </c>
      <c r="P133" s="62" t="n">
        <f aca="false">Assumptions!$C$58*MIN(P117,Assumptions!P$201)+Assumptions!$C$59*MIN(P117,Assumptions!P$202)</f>
        <v>891.3213</v>
      </c>
      <c r="Q133" s="62" t="n">
        <f aca="false">Assumptions!$C$58*MIN(Q117,Assumptions!Q$201)+Assumptions!$C$59*MIN(Q117,Assumptions!Q$202)</f>
        <v>926.974152</v>
      </c>
      <c r="R133" s="62" t="n">
        <f aca="false">Assumptions!$C$58*MIN(R117,Assumptions!R$201)+Assumptions!$C$59*MIN(R117,Assumptions!R$202)</f>
        <v>926.974152</v>
      </c>
      <c r="S133" s="62" t="n">
        <f aca="false">Assumptions!$C$58*MIN(S117,Assumptions!S$201)+Assumptions!$C$59*MIN(S117,Assumptions!S$202)</f>
        <v>926.974152</v>
      </c>
      <c r="T133" s="62" t="n">
        <f aca="false">Assumptions!$C$58*MIN(T117,Assumptions!T$201)+Assumptions!$C$59*MIN(T117,Assumptions!T$202)</f>
        <v>926.974152</v>
      </c>
      <c r="U133" s="62" t="n">
        <f aca="false">Assumptions!$C$58*MIN(U117,Assumptions!U$201)+Assumptions!$C$59*MIN(U117,Assumptions!U$202)</f>
        <v>926.974152</v>
      </c>
      <c r="V133" s="62" t="n">
        <f aca="false">Assumptions!$C$58*MIN(V117,Assumptions!V$201)+Assumptions!$C$59*MIN(V117,Assumptions!V$202)</f>
        <v>926.974152</v>
      </c>
      <c r="W133" s="62" t="n">
        <f aca="false">Assumptions!$C$58*MIN(W117,Assumptions!W$201)+Assumptions!$C$59*MIN(W117,Assumptions!W$202)</f>
        <v>926.974152</v>
      </c>
      <c r="X133" s="62" t="n">
        <f aca="false">Assumptions!$C$58*MIN(X117,Assumptions!X$201)+Assumptions!$C$59*MIN(X117,Assumptions!X$202)</f>
        <v>926.974152</v>
      </c>
      <c r="Y133" s="62" t="n">
        <f aca="false">Assumptions!$C$58*MIN(Y117,Assumptions!Y$201)+Assumptions!$C$59*MIN(Y117,Assumptions!Y$202)</f>
        <v>926.974152</v>
      </c>
      <c r="Z133" s="62" t="n">
        <f aca="false">Assumptions!$C$58*MIN(Z117,Assumptions!Z$201)+Assumptions!$C$59*MIN(Z117,Assumptions!Z$202)</f>
        <v>926.974152</v>
      </c>
      <c r="AA133" s="62" t="n">
        <f aca="false">Assumptions!$C$58*MIN(AA117,Assumptions!AA$201)+Assumptions!$C$59*MIN(AA117,Assumptions!AA$202)</f>
        <v>926.974152</v>
      </c>
      <c r="AB133" s="62" t="n">
        <f aca="false">Assumptions!$C$58*MIN(AB117,Assumptions!AB$201)+Assumptions!$C$59*MIN(AB117,Assumptions!AB$202)</f>
        <v>926.974152</v>
      </c>
    </row>
    <row r="134" customFormat="false" ht="15" hidden="false" customHeight="false" outlineLevel="0" collapsed="false">
      <c r="A134" s="29" t="s">
        <v>1179</v>
      </c>
      <c r="B134" s="60" t="s">
        <v>1180</v>
      </c>
      <c r="C134" s="61" t="n">
        <f aca="false">SUM(E134:P134)</f>
        <v>695516.2</v>
      </c>
      <c r="D134" s="61" t="n">
        <f aca="false">SUM(Q134:AB134)</f>
        <v>722816.64</v>
      </c>
      <c r="E134" s="62" t="n">
        <f aca="false">IF(E$5="A",Inputs_Actuals!E172,E110+E111+E112+E113+E114+E115+E116+E117)</f>
        <v>57890.69</v>
      </c>
      <c r="F134" s="62" t="n">
        <f aca="false">IF(F$5="A",Inputs_Actuals!F172,F110+F111+F112+F113+F114+F115+F116+F117)</f>
        <v>58107.02</v>
      </c>
      <c r="G134" s="62" t="n">
        <f aca="false">IF(G$5="A",Inputs_Actuals!G172,G110+G111+G112+G113+G114+G115+G116+G117)</f>
        <v>57866.78</v>
      </c>
      <c r="H134" s="62" t="n">
        <f aca="false">IF(H$5="A",Inputs_Actuals!H172,H110+H111+H112+H113+H114+H115+H116+H117)</f>
        <v>57921.14</v>
      </c>
      <c r="I134" s="62" t="n">
        <f aca="false">IF(I$5="A",Inputs_Actuals!I172,I110+I111+I112+I113+I114+I115+I116+I117)</f>
        <v>58027.09</v>
      </c>
      <c r="J134" s="62" t="n">
        <f aca="false">IF(J$5="A",Inputs_Actuals!J172,J110+J111+J112+J113+J114+J115+J116+J117)</f>
        <v>57984.44</v>
      </c>
      <c r="K134" s="62" t="n">
        <f aca="false">IF(K$5="A",Inputs_Actuals!K172,K110+K111+K112+K113+K114+K115+K116+K117)</f>
        <v>58139.98</v>
      </c>
      <c r="L134" s="62" t="n">
        <f aca="false">IF(L$5="A",Inputs_Actuals!L172,L110+L111+L112+L113+L114+L115+L116+L117)</f>
        <v>57907.06</v>
      </c>
      <c r="M134" s="62" t="n">
        <f aca="false">IF(M$5="A",Inputs_Actuals!M172,M110+M111+M112+M113+M114+M115+M116+M117)</f>
        <v>57918</v>
      </c>
      <c r="N134" s="62" t="n">
        <f aca="false">IF(N$5="A",Inputs_Actuals!N172,N110+N111+N112+N113+N114+N115+N116+N117)</f>
        <v>57918</v>
      </c>
      <c r="O134" s="62" t="n">
        <f aca="false">IF(O$5="A",Inputs_Actuals!O172,O110+O111+O112+O113+O114+O115+O116+O117)</f>
        <v>57918</v>
      </c>
      <c r="P134" s="62" t="n">
        <f aca="false">IF(P$5="A",Inputs_Actuals!P172,P110+P111+P112+P113+P114+P115+P116+P117)</f>
        <v>57918</v>
      </c>
      <c r="Q134" s="62" t="n">
        <f aca="false">IF(Q$5="A",Inputs_Actuals!Q172,Q110+Q111+Q112+Q113+Q114+Q115+Q116+Q117)</f>
        <v>60234.72</v>
      </c>
      <c r="R134" s="62" t="n">
        <f aca="false">IF(R$5="A",Inputs_Actuals!R172,R110+R111+R112+R113+R114+R115+R116+R117)</f>
        <v>60234.72</v>
      </c>
      <c r="S134" s="62" t="n">
        <f aca="false">IF(S$5="A",Inputs_Actuals!S172,S110+S111+S112+S113+S114+S115+S116+S117)</f>
        <v>60234.72</v>
      </c>
      <c r="T134" s="62" t="n">
        <f aca="false">IF(T$5="A",Inputs_Actuals!T172,T110+T111+T112+T113+T114+T115+T116+T117)</f>
        <v>60234.72</v>
      </c>
      <c r="U134" s="62" t="n">
        <f aca="false">IF(U$5="A",Inputs_Actuals!U172,U110+U111+U112+U113+U114+U115+U116+U117)</f>
        <v>60234.72</v>
      </c>
      <c r="V134" s="62" t="n">
        <f aca="false">IF(V$5="A",Inputs_Actuals!V172,V110+V111+V112+V113+V114+V115+V116+V117)</f>
        <v>60234.72</v>
      </c>
      <c r="W134" s="62" t="n">
        <f aca="false">IF(W$5="A",Inputs_Actuals!W172,W110+W111+W112+W113+W114+W115+W116+W117)</f>
        <v>60234.72</v>
      </c>
      <c r="X134" s="62" t="n">
        <f aca="false">IF(X$5="A",Inputs_Actuals!X172,X110+X111+X112+X113+X114+X115+X116+X117)</f>
        <v>60234.72</v>
      </c>
      <c r="Y134" s="62" t="n">
        <f aca="false">IF(Y$5="A",Inputs_Actuals!Y172,Y110+Y111+Y112+Y113+Y114+Y115+Y116+Y117)</f>
        <v>60234.72</v>
      </c>
      <c r="Z134" s="62" t="n">
        <f aca="false">IF(Z$5="A",Inputs_Actuals!Z172,Z110+Z111+Z112+Z113+Z114+Z115+Z116+Z117)</f>
        <v>60234.72</v>
      </c>
      <c r="AA134" s="62" t="n">
        <f aca="false">IF(AA$5="A",Inputs_Actuals!AA172,AA110+AA111+AA112+AA113+AA114+AA115+AA116+AA117)</f>
        <v>60234.72</v>
      </c>
      <c r="AB134" s="62" t="n">
        <f aca="false">IF(AB$5="A",Inputs_Actuals!AB172,AB110+AB111+AB112+AB113+AB114+AB115+AB116+AB117)</f>
        <v>60234.72</v>
      </c>
    </row>
    <row r="135" customFormat="false" ht="15" hidden="false" customHeight="false" outlineLevel="0" collapsed="false">
      <c r="A135" s="29" t="s">
        <v>1181</v>
      </c>
      <c r="B135" s="60" t="s">
        <v>1180</v>
      </c>
      <c r="C135" s="61" t="n">
        <f aca="false">SUM(E135:P135)</f>
        <v>91893.2598</v>
      </c>
      <c r="D135" s="61" t="n">
        <f aca="false">SUM(Q135:AB135)</f>
        <v>95910.901776</v>
      </c>
      <c r="E135" s="62" t="n">
        <f aca="false">IF(E$5="A",Inputs_Actuals!E173,E118+E119+E120+E121+E122+E123+E124+E125)</f>
        <v>7671.46</v>
      </c>
      <c r="F135" s="62" t="n">
        <f aca="false">IF(F$5="A",Inputs_Actuals!F173,F118+F119+F120+F121+F122+F123+F124+F125)</f>
        <v>7680.23</v>
      </c>
      <c r="G135" s="62" t="n">
        <f aca="false">IF(G$5="A",Inputs_Actuals!G173,G118+G119+G120+G121+G122+G123+G124+G125)</f>
        <v>7634.73</v>
      </c>
      <c r="H135" s="62" t="n">
        <f aca="false">IF(H$5="A",Inputs_Actuals!H173,H118+H119+H120+H121+H122+H123+H124+H125)</f>
        <v>7678.38</v>
      </c>
      <c r="I135" s="62" t="n">
        <f aca="false">IF(I$5="A",Inputs_Actuals!I173,I118+I119+I120+I121+I122+I123+I124+I125)</f>
        <v>7634.11</v>
      </c>
      <c r="J135" s="62" t="n">
        <f aca="false">IF(J$5="A",Inputs_Actuals!J173,J118+J119+J120+J121+J122+J123+J124+J125)</f>
        <v>7663.4</v>
      </c>
      <c r="K135" s="62" t="n">
        <f aca="false">IF(K$5="A",Inputs_Actuals!K173,K118+K119+K120+K121+K122+K123+K124+K125)</f>
        <v>7663</v>
      </c>
      <c r="L135" s="62" t="n">
        <f aca="false">IF(L$5="A",Inputs_Actuals!L173,L118+L119+L120+L121+L122+L123+L124+L125)</f>
        <v>7661.18</v>
      </c>
      <c r="M135" s="62" t="n">
        <f aca="false">IF(M$5="A",Inputs_Actuals!M173,M118+M119+M120+M121+M122+M123+M124+M125)</f>
        <v>7651.69245</v>
      </c>
      <c r="N135" s="62" t="n">
        <f aca="false">IF(N$5="A",Inputs_Actuals!N173,N118+N119+N120+N121+N122+N123+N124+N125)</f>
        <v>7651.69245</v>
      </c>
      <c r="O135" s="62" t="n">
        <f aca="false">IF(O$5="A",Inputs_Actuals!O173,O118+O119+O120+O121+O122+O123+O124+O125)</f>
        <v>7651.69245</v>
      </c>
      <c r="P135" s="62" t="n">
        <f aca="false">IF(P$5="A",Inputs_Actuals!P173,P118+P119+P120+P121+P122+P123+P124+P125)</f>
        <v>7651.69245</v>
      </c>
      <c r="Q135" s="62" t="n">
        <f aca="false">IF(Q$5="A",Inputs_Actuals!Q173,Q118+Q119+Q120+Q121+Q122+Q123+Q124+Q125)</f>
        <v>7992.575148</v>
      </c>
      <c r="R135" s="62" t="n">
        <f aca="false">IF(R$5="A",Inputs_Actuals!R173,R118+R119+R120+R121+R122+R123+R124+R125)</f>
        <v>7992.575148</v>
      </c>
      <c r="S135" s="62" t="n">
        <f aca="false">IF(S$5="A",Inputs_Actuals!S173,S118+S119+S120+S121+S122+S123+S124+S125)</f>
        <v>7992.575148</v>
      </c>
      <c r="T135" s="62" t="n">
        <f aca="false">IF(T$5="A",Inputs_Actuals!T173,T118+T119+T120+T121+T122+T123+T124+T125)</f>
        <v>7992.575148</v>
      </c>
      <c r="U135" s="62" t="n">
        <f aca="false">IF(U$5="A",Inputs_Actuals!U173,U118+U119+U120+U121+U122+U123+U124+U125)</f>
        <v>7992.575148</v>
      </c>
      <c r="V135" s="62" t="n">
        <f aca="false">IF(V$5="A",Inputs_Actuals!V173,V118+V119+V120+V121+V122+V123+V124+V125)</f>
        <v>7992.575148</v>
      </c>
      <c r="W135" s="62" t="n">
        <f aca="false">IF(W$5="A",Inputs_Actuals!W173,W118+W119+W120+W121+W122+W123+W124+W125)</f>
        <v>7992.575148</v>
      </c>
      <c r="X135" s="62" t="n">
        <f aca="false">IF(X$5="A",Inputs_Actuals!X173,X118+X119+X120+X121+X122+X123+X124+X125)</f>
        <v>7992.575148</v>
      </c>
      <c r="Y135" s="62" t="n">
        <f aca="false">IF(Y$5="A",Inputs_Actuals!Y173,Y118+Y119+Y120+Y121+Y122+Y123+Y124+Y125)</f>
        <v>7992.575148</v>
      </c>
      <c r="Z135" s="62" t="n">
        <f aca="false">IF(Z$5="A",Inputs_Actuals!Z173,Z118+Z119+Z120+Z121+Z122+Z123+Z124+Z125)</f>
        <v>7992.575148</v>
      </c>
      <c r="AA135" s="62" t="n">
        <f aca="false">IF(AA$5="A",Inputs_Actuals!AA173,AA118+AA119+AA120+AA121+AA122+AA123+AA124+AA125)</f>
        <v>7992.575148</v>
      </c>
      <c r="AB135" s="62" t="n">
        <f aca="false">IF(AB$5="A",Inputs_Actuals!AB173,AB118+AB119+AB120+AB121+AB122+AB123+AB124+AB125)</f>
        <v>7992.575148</v>
      </c>
    </row>
    <row r="136" customFormat="false" ht="15" hidden="false" customHeight="false" outlineLevel="0" collapsed="false">
      <c r="A136" s="29" t="s">
        <v>1182</v>
      </c>
      <c r="B136" s="60" t="s">
        <v>1183</v>
      </c>
      <c r="C136" s="61" t="n">
        <f aca="false">SUM(E136:P136)</f>
        <v>90324.1602</v>
      </c>
      <c r="D136" s="61" t="n">
        <f aca="false">SUM(Q136:AB136)</f>
        <v>94364.410608</v>
      </c>
      <c r="E136" s="71" t="n">
        <f aca="false">E126+E127+E128+E129+E130+E131+E132+E133</f>
        <v>7527.01335</v>
      </c>
      <c r="F136" s="71" t="n">
        <f aca="false">F126+F127+F128+F129+F130+F131+F132+F133</f>
        <v>7527.01335</v>
      </c>
      <c r="G136" s="71" t="n">
        <f aca="false">G126+G127+G128+G129+G130+G131+G132+G133</f>
        <v>7527.01335</v>
      </c>
      <c r="H136" s="71" t="n">
        <f aca="false">H126+H127+H128+H129+H130+H131+H132+H133</f>
        <v>7527.01335</v>
      </c>
      <c r="I136" s="71" t="n">
        <f aca="false">I126+I127+I128+I129+I130+I131+I132+I133</f>
        <v>7527.01335</v>
      </c>
      <c r="J136" s="71" t="n">
        <f aca="false">J126+J127+J128+J129+J130+J131+J132+J133</f>
        <v>7527.01335</v>
      </c>
      <c r="K136" s="71" t="n">
        <f aca="false">K126+K127+K128+K129+K130+K131+K132+K133</f>
        <v>7527.01335</v>
      </c>
      <c r="L136" s="71" t="n">
        <f aca="false">L126+L127+L128+L129+L130+L131+L132+L133</f>
        <v>7527.01335</v>
      </c>
      <c r="M136" s="71" t="n">
        <f aca="false">M126+M127+M128+M129+M130+M131+M132+M133</f>
        <v>7527.01335</v>
      </c>
      <c r="N136" s="71" t="n">
        <f aca="false">N126+N127+N128+N129+N130+N131+N132+N133</f>
        <v>7527.01335</v>
      </c>
      <c r="O136" s="71" t="n">
        <f aca="false">O126+O127+O128+O129+O130+O131+O132+O133</f>
        <v>7527.01335</v>
      </c>
      <c r="P136" s="71" t="n">
        <f aca="false">P126+P127+P128+P129+P130+P131+P132+P133</f>
        <v>7527.01335</v>
      </c>
      <c r="Q136" s="71" t="n">
        <f aca="false">Q126+Q127+Q128+Q129+Q130+Q131+Q132+Q133</f>
        <v>7863.700884</v>
      </c>
      <c r="R136" s="71" t="n">
        <f aca="false">R126+R127+R128+R129+R130+R131+R132+R133</f>
        <v>7863.700884</v>
      </c>
      <c r="S136" s="71" t="n">
        <f aca="false">S126+S127+S128+S129+S130+S131+S132+S133</f>
        <v>7863.700884</v>
      </c>
      <c r="T136" s="71" t="n">
        <f aca="false">T126+T127+T128+T129+T130+T131+T132+T133</f>
        <v>7863.700884</v>
      </c>
      <c r="U136" s="71" t="n">
        <f aca="false">U126+U127+U128+U129+U130+U131+U132+U133</f>
        <v>7863.700884</v>
      </c>
      <c r="V136" s="71" t="n">
        <f aca="false">V126+V127+V128+V129+V130+V131+V132+V133</f>
        <v>7863.700884</v>
      </c>
      <c r="W136" s="71" t="n">
        <f aca="false">W126+W127+W128+W129+W130+W131+W132+W133</f>
        <v>7863.700884</v>
      </c>
      <c r="X136" s="71" t="n">
        <f aca="false">X126+X127+X128+X129+X130+X131+X132+X133</f>
        <v>7863.700884</v>
      </c>
      <c r="Y136" s="71" t="n">
        <f aca="false">Y126+Y127+Y128+Y129+Y130+Y131+Y132+Y133</f>
        <v>7863.700884</v>
      </c>
      <c r="Z136" s="71" t="n">
        <f aca="false">Z126+Z127+Z128+Z129+Z130+Z131+Z132+Z133</f>
        <v>7863.700884</v>
      </c>
      <c r="AA136" s="71" t="n">
        <f aca="false">AA126+AA127+AA128+AA129+AA130+AA131+AA132+AA133</f>
        <v>7863.700884</v>
      </c>
      <c r="AB136" s="71" t="n">
        <f aca="false">AB126+AB127+AB128+AB129+AB130+AB131+AB132+AB133</f>
        <v>7863.700884</v>
      </c>
    </row>
    <row r="137" customFormat="false" ht="15" hidden="false" customHeight="false" outlineLevel="0" collapsed="false">
      <c r="A137" s="29" t="s">
        <v>1184</v>
      </c>
      <c r="B137" s="60" t="s">
        <v>1185</v>
      </c>
      <c r="C137" s="61" t="n">
        <f aca="false">SUM(E137:P137)</f>
        <v>194614.204</v>
      </c>
      <c r="D137" s="61" t="n">
        <f aca="false">SUM(Q137:AB137)</f>
        <v>202284.3264</v>
      </c>
      <c r="E137" s="62" t="n">
        <f aca="false">(E134-E110)*Assumptions!$C$75+E110*Assumptions!$C$76</f>
        <v>16202.6718</v>
      </c>
      <c r="F137" s="62" t="n">
        <f aca="false">(F134-F110)*Assumptions!$C$75+F110*Assumptions!$C$76</f>
        <v>16250.2644</v>
      </c>
      <c r="G137" s="62" t="n">
        <f aca="false">(G134-G110)*Assumptions!$C$75+G110*Assumptions!$C$76</f>
        <v>16197.4116</v>
      </c>
      <c r="H137" s="62" t="n">
        <f aca="false">(H134-H110)*Assumptions!$C$75+H110*Assumptions!$C$76</f>
        <v>16209.3708</v>
      </c>
      <c r="I137" s="62" t="n">
        <f aca="false">(I134-I110)*Assumptions!$C$75+I110*Assumptions!$C$76</f>
        <v>16232.6798</v>
      </c>
      <c r="J137" s="62" t="n">
        <f aca="false">(J134-J110)*Assumptions!$C$75+J110*Assumptions!$C$76</f>
        <v>16223.2968</v>
      </c>
      <c r="K137" s="62" t="n">
        <f aca="false">(K134-K110)*Assumptions!$C$75+K110*Assumptions!$C$76</f>
        <v>16257.5156</v>
      </c>
      <c r="L137" s="62" t="n">
        <f aca="false">(L134-L110)*Assumptions!$C$75+L110*Assumptions!$C$76</f>
        <v>16206.2732</v>
      </c>
      <c r="M137" s="62" t="n">
        <f aca="false">(M134-M110)*Assumptions!$C$75+M110*Assumptions!$C$76</f>
        <v>16208.68</v>
      </c>
      <c r="N137" s="62" t="n">
        <f aca="false">(N134-N110)*Assumptions!$C$75+N110*Assumptions!$C$76</f>
        <v>16208.68</v>
      </c>
      <c r="O137" s="62" t="n">
        <f aca="false">(O134-O110)*Assumptions!$C$75+O110*Assumptions!$C$76</f>
        <v>16208.68</v>
      </c>
      <c r="P137" s="62" t="n">
        <f aca="false">(P134-P110)*Assumptions!$C$75+P110*Assumptions!$C$76</f>
        <v>16208.68</v>
      </c>
      <c r="Q137" s="62" t="n">
        <f aca="false">(Q134-Q110)*Assumptions!$C$75+Q110*Assumptions!$C$76</f>
        <v>16857.0272</v>
      </c>
      <c r="R137" s="62" t="n">
        <f aca="false">(R134-R110)*Assumptions!$C$75+R110*Assumptions!$C$76</f>
        <v>16857.0272</v>
      </c>
      <c r="S137" s="62" t="n">
        <f aca="false">(S134-S110)*Assumptions!$C$75+S110*Assumptions!$C$76</f>
        <v>16857.0272</v>
      </c>
      <c r="T137" s="62" t="n">
        <f aca="false">(T134-T110)*Assumptions!$C$75+T110*Assumptions!$C$76</f>
        <v>16857.0272</v>
      </c>
      <c r="U137" s="62" t="n">
        <f aca="false">(U134-U110)*Assumptions!$C$75+U110*Assumptions!$C$76</f>
        <v>16857.0272</v>
      </c>
      <c r="V137" s="62" t="n">
        <f aca="false">(V134-V110)*Assumptions!$C$75+V110*Assumptions!$C$76</f>
        <v>16857.0272</v>
      </c>
      <c r="W137" s="62" t="n">
        <f aca="false">(W134-W110)*Assumptions!$C$75+W110*Assumptions!$C$76</f>
        <v>16857.0272</v>
      </c>
      <c r="X137" s="62" t="n">
        <f aca="false">(X134-X110)*Assumptions!$C$75+X110*Assumptions!$C$76</f>
        <v>16857.0272</v>
      </c>
      <c r="Y137" s="62" t="n">
        <f aca="false">(Y134-Y110)*Assumptions!$C$75+Y110*Assumptions!$C$76</f>
        <v>16857.0272</v>
      </c>
      <c r="Z137" s="62" t="n">
        <f aca="false">(Z134-Z110)*Assumptions!$C$75+Z110*Assumptions!$C$76</f>
        <v>16857.0272</v>
      </c>
      <c r="AA137" s="62" t="n">
        <f aca="false">(AA134-AA110)*Assumptions!$C$75+AA110*Assumptions!$C$76</f>
        <v>16857.0272</v>
      </c>
      <c r="AB137" s="62" t="n">
        <f aca="false">(AB134-AB110)*Assumptions!$C$75+AB110*Assumptions!$C$76</f>
        <v>16857.0272</v>
      </c>
    </row>
    <row r="138" customFormat="false" ht="15" hidden="false" customHeight="false" outlineLevel="0" collapsed="false">
      <c r="A138" s="29" t="s">
        <v>1186</v>
      </c>
      <c r="B138" s="60" t="s">
        <v>1187</v>
      </c>
      <c r="C138" s="61" t="n">
        <f aca="false">SUM(E138:P138)</f>
        <v>19596.5484</v>
      </c>
      <c r="D138" s="61" t="n">
        <f aca="false">SUM(Q138:AB138)</f>
        <v>23073.03648</v>
      </c>
      <c r="E138" s="62" t="n">
        <f aca="false">(E134-E110)*Assumptions!$C$91*E20</f>
        <v>1521.39498</v>
      </c>
      <c r="F138" s="62" t="n">
        <f aca="false">(F134-F110)*Assumptions!$C$91*F20</f>
        <v>1530.48084</v>
      </c>
      <c r="G138" s="62" t="n">
        <f aca="false">(G134-G110)*Assumptions!$C$91*G20</f>
        <v>1520.39076</v>
      </c>
      <c r="H138" s="62" t="n">
        <f aca="false">(H134-H110)*Assumptions!$C$91*H20</f>
        <v>1522.67388</v>
      </c>
      <c r="I138" s="62" t="n">
        <f aca="false">(I134-I110)*Assumptions!$C$91*I20</f>
        <v>1527.12378</v>
      </c>
      <c r="J138" s="62" t="n">
        <f aca="false">(J134-J110)*Assumptions!$C$91*J20</f>
        <v>1525.33248</v>
      </c>
      <c r="K138" s="62" t="n">
        <f aca="false">(K134-K110)*Assumptions!$C$91*K20</f>
        <v>1531.86516</v>
      </c>
      <c r="L138" s="62" t="n">
        <f aca="false">(L134-L110)*Assumptions!$C$91*L20</f>
        <v>1522.08252</v>
      </c>
      <c r="M138" s="62" t="n">
        <f aca="false">(M134-M110)*Assumptions!$C$91*M20</f>
        <v>1848.801</v>
      </c>
      <c r="N138" s="62" t="n">
        <f aca="false">(N134-N110)*Assumptions!$C$91*N20</f>
        <v>1848.801</v>
      </c>
      <c r="O138" s="62" t="n">
        <f aca="false">(O134-O110)*Assumptions!$C$91*O20</f>
        <v>1848.801</v>
      </c>
      <c r="P138" s="62" t="n">
        <f aca="false">(P134-P110)*Assumptions!$C$91*P20</f>
        <v>1848.801</v>
      </c>
      <c r="Q138" s="62" t="n">
        <f aca="false">(Q134-Q110)*Assumptions!$C$91*Q20</f>
        <v>1922.75304</v>
      </c>
      <c r="R138" s="62" t="n">
        <f aca="false">(R134-R110)*Assumptions!$C$91*R20</f>
        <v>1922.75304</v>
      </c>
      <c r="S138" s="62" t="n">
        <f aca="false">(S134-S110)*Assumptions!$C$91*S20</f>
        <v>1922.75304</v>
      </c>
      <c r="T138" s="62" t="n">
        <f aca="false">(T134-T110)*Assumptions!$C$91*T20</f>
        <v>1922.75304</v>
      </c>
      <c r="U138" s="62" t="n">
        <f aca="false">(U134-U110)*Assumptions!$C$91*U20</f>
        <v>1922.75304</v>
      </c>
      <c r="V138" s="62" t="n">
        <f aca="false">(V134-V110)*Assumptions!$C$91*V20</f>
        <v>1922.75304</v>
      </c>
      <c r="W138" s="62" t="n">
        <f aca="false">(W134-W110)*Assumptions!$C$91*W20</f>
        <v>1922.75304</v>
      </c>
      <c r="X138" s="62" t="n">
        <f aca="false">(X134-X110)*Assumptions!$C$91*X20</f>
        <v>1922.75304</v>
      </c>
      <c r="Y138" s="62" t="n">
        <f aca="false">(Y134-Y110)*Assumptions!$C$91*Y20</f>
        <v>1922.75304</v>
      </c>
      <c r="Z138" s="62" t="n">
        <f aca="false">(Z134-Z110)*Assumptions!$C$91*Z20</f>
        <v>1922.75304</v>
      </c>
      <c r="AA138" s="62" t="n">
        <f aca="false">(AA134-AA110)*Assumptions!$C$91*AA20</f>
        <v>1922.75304</v>
      </c>
      <c r="AB138" s="62" t="n">
        <f aca="false">(AB134-AB110)*Assumptions!$C$91*AB20</f>
        <v>1922.75304</v>
      </c>
    </row>
    <row r="139" customFormat="false" ht="15" hidden="false" customHeight="false" outlineLevel="0" collapsed="false">
      <c r="A139" s="29" t="s">
        <v>1188</v>
      </c>
      <c r="B139" s="60" t="s">
        <v>1189</v>
      </c>
      <c r="C139" s="61" t="n">
        <f aca="false">SUM(E139:P139)</f>
        <v>4256.37031248</v>
      </c>
      <c r="D139" s="61" t="n">
        <f aca="false">SUM(Q139:AB139)</f>
        <v>5011.463523456</v>
      </c>
      <c r="E139" s="62" t="n">
        <f aca="false">E138*Assumptions!$C$82</f>
        <v>330.446989656</v>
      </c>
      <c r="F139" s="62" t="n">
        <f aca="false">F138*Assumptions!$C$82</f>
        <v>332.420438448</v>
      </c>
      <c r="G139" s="62" t="n">
        <f aca="false">G138*Assumptions!$C$82</f>
        <v>330.228873072</v>
      </c>
      <c r="H139" s="62" t="n">
        <f aca="false">H138*Assumptions!$C$82</f>
        <v>330.724766736</v>
      </c>
      <c r="I139" s="62" t="n">
        <f aca="false">I138*Assumptions!$C$82</f>
        <v>331.691285016</v>
      </c>
      <c r="J139" s="62" t="n">
        <f aca="false">J138*Assumptions!$C$82</f>
        <v>331.302214656</v>
      </c>
      <c r="K139" s="62" t="n">
        <f aca="false">K138*Assumptions!$C$82</f>
        <v>332.721112752</v>
      </c>
      <c r="L139" s="62" t="n">
        <f aca="false">L138*Assumptions!$C$82</f>
        <v>330.596323344</v>
      </c>
      <c r="M139" s="62" t="n">
        <f aca="false">M138*Assumptions!$C$82</f>
        <v>401.5595772</v>
      </c>
      <c r="N139" s="62" t="n">
        <f aca="false">N138*Assumptions!$C$82</f>
        <v>401.5595772</v>
      </c>
      <c r="O139" s="62" t="n">
        <f aca="false">O138*Assumptions!$C$82</f>
        <v>401.5595772</v>
      </c>
      <c r="P139" s="62" t="n">
        <f aca="false">P138*Assumptions!$C$82</f>
        <v>401.5595772</v>
      </c>
      <c r="Q139" s="62" t="n">
        <f aca="false">Q138*Assumptions!$C$82</f>
        <v>417.621960288</v>
      </c>
      <c r="R139" s="62" t="n">
        <f aca="false">R138*Assumptions!$C$82</f>
        <v>417.621960288</v>
      </c>
      <c r="S139" s="62" t="n">
        <f aca="false">S138*Assumptions!$C$82</f>
        <v>417.621960288</v>
      </c>
      <c r="T139" s="62" t="n">
        <f aca="false">T138*Assumptions!$C$82</f>
        <v>417.621960288</v>
      </c>
      <c r="U139" s="62" t="n">
        <f aca="false">U138*Assumptions!$C$82</f>
        <v>417.621960288</v>
      </c>
      <c r="V139" s="62" t="n">
        <f aca="false">V138*Assumptions!$C$82</f>
        <v>417.621960288</v>
      </c>
      <c r="W139" s="62" t="n">
        <f aca="false">W138*Assumptions!$C$82</f>
        <v>417.621960288</v>
      </c>
      <c r="X139" s="62" t="n">
        <f aca="false">X138*Assumptions!$C$82</f>
        <v>417.621960288</v>
      </c>
      <c r="Y139" s="62" t="n">
        <f aca="false">Y138*Assumptions!$C$82</f>
        <v>417.621960288</v>
      </c>
      <c r="Z139" s="62" t="n">
        <f aca="false">Z138*Assumptions!$C$82</f>
        <v>417.621960288</v>
      </c>
      <c r="AA139" s="62" t="n">
        <f aca="false">AA138*Assumptions!$C$82</f>
        <v>417.621960288</v>
      </c>
      <c r="AB139" s="62" t="n">
        <f aca="false">AB138*Assumptions!$C$82</f>
        <v>417.621960288</v>
      </c>
    </row>
    <row r="140" customFormat="false" ht="15" hidden="false" customHeight="false" outlineLevel="0" collapsed="false">
      <c r="A140" s="68" t="s">
        <v>1190</v>
      </c>
      <c r="B140" s="69"/>
      <c r="C140" s="70" t="n">
        <f aca="false">SUM(E140:P140)</f>
        <v>787409.4598</v>
      </c>
      <c r="D140" s="70" t="n">
        <f aca="false">SUM(Q140:AB140)</f>
        <v>818727.541776</v>
      </c>
      <c r="E140" s="70" t="n">
        <f aca="false">E134+E135</f>
        <v>65562.15</v>
      </c>
      <c r="F140" s="70" t="n">
        <f aca="false">F134+F135</f>
        <v>65787.25</v>
      </c>
      <c r="G140" s="70" t="n">
        <f aca="false">G134+G135</f>
        <v>65501.51</v>
      </c>
      <c r="H140" s="70" t="n">
        <f aca="false">H134+H135</f>
        <v>65599.52</v>
      </c>
      <c r="I140" s="70" t="n">
        <f aca="false">I134+I135</f>
        <v>65661.2</v>
      </c>
      <c r="J140" s="70" t="n">
        <f aca="false">J134+J135</f>
        <v>65647.84</v>
      </c>
      <c r="K140" s="70" t="n">
        <f aca="false">K134+K135</f>
        <v>65802.98</v>
      </c>
      <c r="L140" s="70" t="n">
        <f aca="false">L134+L135</f>
        <v>65568.24</v>
      </c>
      <c r="M140" s="70" t="n">
        <f aca="false">M134+M135</f>
        <v>65569.69245</v>
      </c>
      <c r="N140" s="70" t="n">
        <f aca="false">N134+N135</f>
        <v>65569.69245</v>
      </c>
      <c r="O140" s="70" t="n">
        <f aca="false">O134+O135</f>
        <v>65569.69245</v>
      </c>
      <c r="P140" s="70" t="n">
        <f aca="false">P134+P135</f>
        <v>65569.69245</v>
      </c>
      <c r="Q140" s="70" t="n">
        <f aca="false">Q134+Q135</f>
        <v>68227.295148</v>
      </c>
      <c r="R140" s="70" t="n">
        <f aca="false">R134+R135</f>
        <v>68227.295148</v>
      </c>
      <c r="S140" s="70" t="n">
        <f aca="false">S134+S135</f>
        <v>68227.295148</v>
      </c>
      <c r="T140" s="70" t="n">
        <f aca="false">T134+T135</f>
        <v>68227.295148</v>
      </c>
      <c r="U140" s="70" t="n">
        <f aca="false">U134+U135</f>
        <v>68227.295148</v>
      </c>
      <c r="V140" s="70" t="n">
        <f aca="false">V134+V135</f>
        <v>68227.295148</v>
      </c>
      <c r="W140" s="70" t="n">
        <f aca="false">W134+W135</f>
        <v>68227.295148</v>
      </c>
      <c r="X140" s="70" t="n">
        <f aca="false">X134+X135</f>
        <v>68227.295148</v>
      </c>
      <c r="Y140" s="70" t="n">
        <f aca="false">Y134+Y135</f>
        <v>68227.295148</v>
      </c>
      <c r="Z140" s="70" t="n">
        <f aca="false">Z134+Z135</f>
        <v>68227.295148</v>
      </c>
      <c r="AA140" s="70" t="n">
        <f aca="false">AA134+AA135</f>
        <v>68227.295148</v>
      </c>
      <c r="AB140" s="70" t="n">
        <f aca="false">AB134+AB135</f>
        <v>68227.295148</v>
      </c>
    </row>
    <row r="141" customFormat="false" ht="15" hidden="false" customHeight="false" outlineLevel="0" collapsed="false">
      <c r="A141" s="29" t="s">
        <v>1191</v>
      </c>
      <c r="B141" s="60" t="s">
        <v>1192</v>
      </c>
      <c r="C141" s="66" t="n">
        <f aca="false">P141</f>
        <v>8</v>
      </c>
      <c r="D141" s="66" t="n">
        <f aca="false">AB141</f>
        <v>8</v>
      </c>
      <c r="E141" s="72" t="n">
        <f aca="false">IF(E110&gt;0,1,0)+IF(E111&gt;0,1,0)+IF(E112&gt;0,1,0)+IF(E113&gt;0,1,0)+IF(E114&gt;0,1,0)+IF(E115&gt;0,1,0)+IF(E116&gt;0,1,0)+IF(E117&gt;0,1,0)</f>
        <v>8</v>
      </c>
      <c r="F141" s="72" t="n">
        <f aca="false">IF(F110&gt;0,1,0)+IF(F111&gt;0,1,0)+IF(F112&gt;0,1,0)+IF(F113&gt;0,1,0)+IF(F114&gt;0,1,0)+IF(F115&gt;0,1,0)+IF(F116&gt;0,1,0)+IF(F117&gt;0,1,0)</f>
        <v>8</v>
      </c>
      <c r="G141" s="72" t="n">
        <f aca="false">IF(G110&gt;0,1,0)+IF(G111&gt;0,1,0)+IF(G112&gt;0,1,0)+IF(G113&gt;0,1,0)+IF(G114&gt;0,1,0)+IF(G115&gt;0,1,0)+IF(G116&gt;0,1,0)+IF(G117&gt;0,1,0)</f>
        <v>8</v>
      </c>
      <c r="H141" s="72" t="n">
        <f aca="false">IF(H110&gt;0,1,0)+IF(H111&gt;0,1,0)+IF(H112&gt;0,1,0)+IF(H113&gt;0,1,0)+IF(H114&gt;0,1,0)+IF(H115&gt;0,1,0)+IF(H116&gt;0,1,0)+IF(H117&gt;0,1,0)</f>
        <v>8</v>
      </c>
      <c r="I141" s="72" t="n">
        <f aca="false">IF(I110&gt;0,1,0)+IF(I111&gt;0,1,0)+IF(I112&gt;0,1,0)+IF(I113&gt;0,1,0)+IF(I114&gt;0,1,0)+IF(I115&gt;0,1,0)+IF(I116&gt;0,1,0)+IF(I117&gt;0,1,0)</f>
        <v>8</v>
      </c>
      <c r="J141" s="72" t="n">
        <f aca="false">IF(J110&gt;0,1,0)+IF(J111&gt;0,1,0)+IF(J112&gt;0,1,0)+IF(J113&gt;0,1,0)+IF(J114&gt;0,1,0)+IF(J115&gt;0,1,0)+IF(J116&gt;0,1,0)+IF(J117&gt;0,1,0)</f>
        <v>8</v>
      </c>
      <c r="K141" s="72" t="n">
        <f aca="false">IF(K110&gt;0,1,0)+IF(K111&gt;0,1,0)+IF(K112&gt;0,1,0)+IF(K113&gt;0,1,0)+IF(K114&gt;0,1,0)+IF(K115&gt;0,1,0)+IF(K116&gt;0,1,0)+IF(K117&gt;0,1,0)</f>
        <v>8</v>
      </c>
      <c r="L141" s="72" t="n">
        <f aca="false">IF(L110&gt;0,1,0)+IF(L111&gt;0,1,0)+IF(L112&gt;0,1,0)+IF(L113&gt;0,1,0)+IF(L114&gt;0,1,0)+IF(L115&gt;0,1,0)+IF(L116&gt;0,1,0)+IF(L117&gt;0,1,0)</f>
        <v>8</v>
      </c>
      <c r="M141" s="72" t="n">
        <f aca="false">IF(M110&gt;0,1,0)+IF(M111&gt;0,1,0)+IF(M112&gt;0,1,0)+IF(M113&gt;0,1,0)+IF(M114&gt;0,1,0)+IF(M115&gt;0,1,0)+IF(M116&gt;0,1,0)+IF(M117&gt;0,1,0)</f>
        <v>8</v>
      </c>
      <c r="N141" s="72" t="n">
        <f aca="false">IF(N110&gt;0,1,0)+IF(N111&gt;0,1,0)+IF(N112&gt;0,1,0)+IF(N113&gt;0,1,0)+IF(N114&gt;0,1,0)+IF(N115&gt;0,1,0)+IF(N116&gt;0,1,0)+IF(N117&gt;0,1,0)</f>
        <v>8</v>
      </c>
      <c r="O141" s="72" t="n">
        <f aca="false">IF(O110&gt;0,1,0)+IF(O111&gt;0,1,0)+IF(O112&gt;0,1,0)+IF(O113&gt;0,1,0)+IF(O114&gt;0,1,0)+IF(O115&gt;0,1,0)+IF(O116&gt;0,1,0)+IF(O117&gt;0,1,0)</f>
        <v>8</v>
      </c>
      <c r="P141" s="72" t="n">
        <f aca="false">IF(P110&gt;0,1,0)+IF(P111&gt;0,1,0)+IF(P112&gt;0,1,0)+IF(P113&gt;0,1,0)+IF(P114&gt;0,1,0)+IF(P115&gt;0,1,0)+IF(P116&gt;0,1,0)+IF(P117&gt;0,1,0)</f>
        <v>8</v>
      </c>
      <c r="Q141" s="72" t="n">
        <f aca="false">IF(Q110&gt;0,1,0)+IF(Q111&gt;0,1,0)+IF(Q112&gt;0,1,0)+IF(Q113&gt;0,1,0)+IF(Q114&gt;0,1,0)+IF(Q115&gt;0,1,0)+IF(Q116&gt;0,1,0)+IF(Q117&gt;0,1,0)</f>
        <v>8</v>
      </c>
      <c r="R141" s="72" t="n">
        <f aca="false">IF(R110&gt;0,1,0)+IF(R111&gt;0,1,0)+IF(R112&gt;0,1,0)+IF(R113&gt;0,1,0)+IF(R114&gt;0,1,0)+IF(R115&gt;0,1,0)+IF(R116&gt;0,1,0)+IF(R117&gt;0,1,0)</f>
        <v>8</v>
      </c>
      <c r="S141" s="72" t="n">
        <f aca="false">IF(S110&gt;0,1,0)+IF(S111&gt;0,1,0)+IF(S112&gt;0,1,0)+IF(S113&gt;0,1,0)+IF(S114&gt;0,1,0)+IF(S115&gt;0,1,0)+IF(S116&gt;0,1,0)+IF(S117&gt;0,1,0)</f>
        <v>8</v>
      </c>
      <c r="T141" s="72" t="n">
        <f aca="false">IF(T110&gt;0,1,0)+IF(T111&gt;0,1,0)+IF(T112&gt;0,1,0)+IF(T113&gt;0,1,0)+IF(T114&gt;0,1,0)+IF(T115&gt;0,1,0)+IF(T116&gt;0,1,0)+IF(T117&gt;0,1,0)</f>
        <v>8</v>
      </c>
      <c r="U141" s="72" t="n">
        <f aca="false">IF(U110&gt;0,1,0)+IF(U111&gt;0,1,0)+IF(U112&gt;0,1,0)+IF(U113&gt;0,1,0)+IF(U114&gt;0,1,0)+IF(U115&gt;0,1,0)+IF(U116&gt;0,1,0)+IF(U117&gt;0,1,0)</f>
        <v>8</v>
      </c>
      <c r="V141" s="72" t="n">
        <f aca="false">IF(V110&gt;0,1,0)+IF(V111&gt;0,1,0)+IF(V112&gt;0,1,0)+IF(V113&gt;0,1,0)+IF(V114&gt;0,1,0)+IF(V115&gt;0,1,0)+IF(V116&gt;0,1,0)+IF(V117&gt;0,1,0)</f>
        <v>8</v>
      </c>
      <c r="W141" s="72" t="n">
        <f aca="false">IF(W110&gt;0,1,0)+IF(W111&gt;0,1,0)+IF(W112&gt;0,1,0)+IF(W113&gt;0,1,0)+IF(W114&gt;0,1,0)+IF(W115&gt;0,1,0)+IF(W116&gt;0,1,0)+IF(W117&gt;0,1,0)</f>
        <v>8</v>
      </c>
      <c r="X141" s="72" t="n">
        <f aca="false">IF(X110&gt;0,1,0)+IF(X111&gt;0,1,0)+IF(X112&gt;0,1,0)+IF(X113&gt;0,1,0)+IF(X114&gt;0,1,0)+IF(X115&gt;0,1,0)+IF(X116&gt;0,1,0)+IF(X117&gt;0,1,0)</f>
        <v>8</v>
      </c>
      <c r="Y141" s="72" t="n">
        <f aca="false">IF(Y110&gt;0,1,0)+IF(Y111&gt;0,1,0)+IF(Y112&gt;0,1,0)+IF(Y113&gt;0,1,0)+IF(Y114&gt;0,1,0)+IF(Y115&gt;0,1,0)+IF(Y116&gt;0,1,0)+IF(Y117&gt;0,1,0)</f>
        <v>8</v>
      </c>
      <c r="Z141" s="72" t="n">
        <f aca="false">IF(Z110&gt;0,1,0)+IF(Z111&gt;0,1,0)+IF(Z112&gt;0,1,0)+IF(Z113&gt;0,1,0)+IF(Z114&gt;0,1,0)+IF(Z115&gt;0,1,0)+IF(Z116&gt;0,1,0)+IF(Z117&gt;0,1,0)</f>
        <v>8</v>
      </c>
      <c r="AA141" s="72" t="n">
        <f aca="false">IF(AA110&gt;0,1,0)+IF(AA111&gt;0,1,0)+IF(AA112&gt;0,1,0)+IF(AA113&gt;0,1,0)+IF(AA114&gt;0,1,0)+IF(AA115&gt;0,1,0)+IF(AA116&gt;0,1,0)+IF(AA117&gt;0,1,0)</f>
        <v>8</v>
      </c>
      <c r="AB141" s="72" t="n">
        <f aca="false">IF(AB110&gt;0,1,0)+IF(AB111&gt;0,1,0)+IF(AB112&gt;0,1,0)+IF(AB113&gt;0,1,0)+IF(AB114&gt;0,1,0)+IF(AB115&gt;0,1,0)+IF(AB116&gt;0,1,0)+IF(AB117&gt;0,1,0)</f>
        <v>8</v>
      </c>
    </row>
    <row r="142" customFormat="false" ht="15" hidden="false" customHeight="false" outlineLevel="0" collapsed="false">
      <c r="A142" s="23" t="s">
        <v>1193</v>
      </c>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row>
    <row r="143" customFormat="false" ht="15" hidden="false" customHeight="false" outlineLevel="0" collapsed="false">
      <c r="A143" s="68" t="s">
        <v>1150</v>
      </c>
      <c r="B143" s="69"/>
      <c r="C143" s="113" t="n">
        <f aca="false">P143</f>
        <v>33.9969664996865</v>
      </c>
      <c r="D143" s="113" t="n">
        <f aca="false">AB143</f>
        <v>38.0087910392562</v>
      </c>
      <c r="E143" s="113" t="n">
        <f aca="false">E60+E84+E108</f>
        <v>30</v>
      </c>
      <c r="F143" s="113" t="n">
        <f aca="false">F60+F84+F108</f>
        <v>31</v>
      </c>
      <c r="G143" s="113" t="n">
        <f aca="false">G60+G84+G108</f>
        <v>32</v>
      </c>
      <c r="H143" s="113" t="n">
        <f aca="false">H60+H84+H108</f>
        <v>31</v>
      </c>
      <c r="I143" s="113" t="n">
        <f aca="false">I60+I84+I108</f>
        <v>32</v>
      </c>
      <c r="J143" s="113" t="n">
        <f aca="false">J60+J84+J108</f>
        <v>32</v>
      </c>
      <c r="K143" s="113" t="n">
        <f aca="false">K60+K84+K108</f>
        <v>32</v>
      </c>
      <c r="L143" s="113" t="n">
        <f aca="false">L60+L84+L108</f>
        <v>32</v>
      </c>
      <c r="M143" s="113" t="n">
        <f aca="false">M60+M84+M108</f>
        <v>33.6916666666667</v>
      </c>
      <c r="N143" s="113" t="n">
        <f aca="false">N60+N84+N108</f>
        <v>34.3618402777778</v>
      </c>
      <c r="O143" s="113" t="n">
        <f aca="false">O60+O84+O108</f>
        <v>34.0232919560185</v>
      </c>
      <c r="P143" s="113" t="n">
        <f aca="false">P60+P84+P108</f>
        <v>33.9969664996865</v>
      </c>
      <c r="Q143" s="113" t="n">
        <f aca="false">Q60+Q84+Q108</f>
        <v>35.4924704896728</v>
      </c>
      <c r="R143" s="113" t="n">
        <f aca="false">R60+R84+R108</f>
        <v>35.4800907534371</v>
      </c>
      <c r="S143" s="113" t="n">
        <f aca="false">S60+S84+S108</f>
        <v>35.4639612008548</v>
      </c>
      <c r="T143" s="113" t="n">
        <f aca="false">T60+T84+T108</f>
        <v>36.0976795507111</v>
      </c>
      <c r="U143" s="113" t="n">
        <f aca="false">U60+U84+U108</f>
        <v>36.0927732873729</v>
      </c>
      <c r="V143" s="113" t="n">
        <f aca="false">V60+V84+V108</f>
        <v>36.0877664811856</v>
      </c>
      <c r="W143" s="113" t="n">
        <f aca="false">W60+W84+W108</f>
        <v>36.0826158690882</v>
      </c>
      <c r="X143" s="113" t="n">
        <f aca="false">X60+X84+X108</f>
        <v>36.0827378539509</v>
      </c>
      <c r="Y143" s="113" t="n">
        <f aca="false">Y60+Y84+Y108</f>
        <v>38.0828196936909</v>
      </c>
      <c r="Z143" s="113" t="n">
        <f aca="false">Z60+Z84+Z108</f>
        <v>38.0578603865033</v>
      </c>
      <c r="AA143" s="113" t="n">
        <f aca="false">AA60+AA84+AA108</f>
        <v>38.033170922166</v>
      </c>
      <c r="AB143" s="113" t="n">
        <f aca="false">AB60+AB84+AB108</f>
        <v>38.0087910392562</v>
      </c>
    </row>
    <row r="144" customFormat="false" ht="15" hidden="false" customHeight="false" outlineLevel="0" collapsed="false">
      <c r="A144" s="68" t="s">
        <v>1194</v>
      </c>
      <c r="B144" s="69"/>
      <c r="C144" s="113" t="n">
        <f aca="false">P144</f>
        <v>41.9969664996865</v>
      </c>
      <c r="D144" s="113" t="n">
        <f aca="false">AB144</f>
        <v>46.0087910392562</v>
      </c>
      <c r="E144" s="113" t="n">
        <f aca="false">E143+E141</f>
        <v>38</v>
      </c>
      <c r="F144" s="113" t="n">
        <f aca="false">F143+F141</f>
        <v>39</v>
      </c>
      <c r="G144" s="113" t="n">
        <f aca="false">G143+G141</f>
        <v>40</v>
      </c>
      <c r="H144" s="113" t="n">
        <f aca="false">H143+H141</f>
        <v>39</v>
      </c>
      <c r="I144" s="113" t="n">
        <f aca="false">I143+I141</f>
        <v>40</v>
      </c>
      <c r="J144" s="113" t="n">
        <f aca="false">J143+J141</f>
        <v>40</v>
      </c>
      <c r="K144" s="113" t="n">
        <f aca="false">K143+K141</f>
        <v>40</v>
      </c>
      <c r="L144" s="113" t="n">
        <f aca="false">L143+L141</f>
        <v>40</v>
      </c>
      <c r="M144" s="113" t="n">
        <f aca="false">M143+M141</f>
        <v>41.6916666666667</v>
      </c>
      <c r="N144" s="113" t="n">
        <f aca="false">N143+N141</f>
        <v>42.3618402777778</v>
      </c>
      <c r="O144" s="113" t="n">
        <f aca="false">O143+O141</f>
        <v>42.0232919560185</v>
      </c>
      <c r="P144" s="113" t="n">
        <f aca="false">P143+P141</f>
        <v>41.9969664996865</v>
      </c>
      <c r="Q144" s="113" t="n">
        <f aca="false">Q143+Q141</f>
        <v>43.4924704896728</v>
      </c>
      <c r="R144" s="113" t="n">
        <f aca="false">R143+R141</f>
        <v>43.4800907534371</v>
      </c>
      <c r="S144" s="113" t="n">
        <f aca="false">S143+S141</f>
        <v>43.4639612008548</v>
      </c>
      <c r="T144" s="113" t="n">
        <f aca="false">T143+T141</f>
        <v>44.0976795507111</v>
      </c>
      <c r="U144" s="113" t="n">
        <f aca="false">U143+U141</f>
        <v>44.0927732873729</v>
      </c>
      <c r="V144" s="113" t="n">
        <f aca="false">V143+V141</f>
        <v>44.0877664811856</v>
      </c>
      <c r="W144" s="113" t="n">
        <f aca="false">W143+W141</f>
        <v>44.0826158690882</v>
      </c>
      <c r="X144" s="113" t="n">
        <f aca="false">X143+X141</f>
        <v>44.0827378539509</v>
      </c>
      <c r="Y144" s="113" t="n">
        <f aca="false">Y143+Y141</f>
        <v>46.0828196936909</v>
      </c>
      <c r="Z144" s="113" t="n">
        <f aca="false">Z143+Z141</f>
        <v>46.0578603865033</v>
      </c>
      <c r="AA144" s="113" t="n">
        <f aca="false">AA143+AA141</f>
        <v>46.033170922166</v>
      </c>
      <c r="AB144" s="113" t="n">
        <f aca="false">AB143+AB141</f>
        <v>46.0087910392562</v>
      </c>
    </row>
    <row r="145" customFormat="false" ht="15" hidden="false" customHeight="false" outlineLevel="0" collapsed="false">
      <c r="A145" s="29" t="s">
        <v>1195</v>
      </c>
      <c r="B145" s="60"/>
      <c r="C145" s="61" t="n">
        <f aca="false">SUM(E145:P145)</f>
        <v>3781621.36721439</v>
      </c>
      <c r="D145" s="61" t="n">
        <f aca="false">SUM(Q145:AB145)</f>
        <v>4360921.64677895</v>
      </c>
      <c r="E145" s="71" t="n">
        <f aca="false">E59+E83+E107</f>
        <v>297230.34</v>
      </c>
      <c r="F145" s="71" t="n">
        <f aca="false">F59+F83+F107</f>
        <v>308559.43</v>
      </c>
      <c r="G145" s="71" t="n">
        <f aca="false">G59+G83+G107</f>
        <v>314943.89</v>
      </c>
      <c r="H145" s="71" t="n">
        <f aca="false">H59+H83+H107</f>
        <v>306740.98</v>
      </c>
      <c r="I145" s="71" t="n">
        <f aca="false">I59+I83+I107</f>
        <v>312341.5</v>
      </c>
      <c r="J145" s="71" t="n">
        <f aca="false">J59+J83+J107</f>
        <v>312302.31</v>
      </c>
      <c r="K145" s="71" t="n">
        <f aca="false">K59+K83+K107</f>
        <v>312745.98</v>
      </c>
      <c r="L145" s="71" t="n">
        <f aca="false">L59+L83+L107</f>
        <v>313193.08</v>
      </c>
      <c r="M145" s="71" t="n">
        <f aca="false">M59+M83+M107</f>
        <v>323083.168034722</v>
      </c>
      <c r="N145" s="71" t="n">
        <f aca="false">N59+N83+N107</f>
        <v>328715.223466551</v>
      </c>
      <c r="O145" s="71" t="n">
        <f aca="false">O59+O83+O107</f>
        <v>325970.300736745</v>
      </c>
      <c r="P145" s="71" t="n">
        <f aca="false">P59+P83+P107</f>
        <v>325795.164976367</v>
      </c>
      <c r="Q145" s="71" t="n">
        <f aca="false">Q59+Q83+Q107</f>
        <v>354006.011157166</v>
      </c>
      <c r="R145" s="71" t="n">
        <f aca="false">R59+R83+R107</f>
        <v>353884.776347474</v>
      </c>
      <c r="S145" s="71" t="n">
        <f aca="false">S59+S83+S107</f>
        <v>353733.363536021</v>
      </c>
      <c r="T145" s="71" t="n">
        <f aca="false">T59+T83+T107</f>
        <v>360970.332371267</v>
      </c>
      <c r="U145" s="71" t="n">
        <f aca="false">U59+U83+U107</f>
        <v>360913.504967069</v>
      </c>
      <c r="V145" s="71" t="n">
        <f aca="false">V59+V83+V107</f>
        <v>360855.790014441</v>
      </c>
      <c r="W145" s="71" t="n">
        <f aca="false">W59+W83+W107</f>
        <v>360796.849633786</v>
      </c>
      <c r="X145" s="71" t="n">
        <f aca="false">X59+X83+X107</f>
        <v>360798.26435224</v>
      </c>
      <c r="Y145" s="71" t="n">
        <f aca="false">Y59+Y83+Y107</f>
        <v>373985.54252256</v>
      </c>
      <c r="Z145" s="71" t="n">
        <f aca="false">Z59+Z83+Z107</f>
        <v>373821.180278491</v>
      </c>
      <c r="AA145" s="71" t="n">
        <f aca="false">AA59+AA83+AA107</f>
        <v>373658.388560545</v>
      </c>
      <c r="AB145" s="71" t="n">
        <f aca="false">AB59+AB83+AB107</f>
        <v>373497.643037895</v>
      </c>
    </row>
    <row r="146" customFormat="false" ht="15" hidden="false" customHeight="false" outlineLevel="0" collapsed="false">
      <c r="A146" s="29" t="s">
        <v>1196</v>
      </c>
      <c r="B146" s="60"/>
      <c r="C146" s="61" t="n">
        <f aca="false">SUM(E146:P146)</f>
        <v>322673.551028152</v>
      </c>
      <c r="D146" s="61" t="n">
        <f aca="false">SUM(Q146:AB146)</f>
        <v>406803.535577624</v>
      </c>
      <c r="E146" s="71" t="n">
        <f aca="false">E57+E58+E81+E82+E105+E106</f>
        <v>24098.8346666667</v>
      </c>
      <c r="F146" s="71" t="n">
        <f aca="false">F57+F58+F81+F82+F105+F106</f>
        <v>24882.8346666667</v>
      </c>
      <c r="G146" s="71" t="n">
        <f aca="false">G57+G58+G81+G82+G105+G106</f>
        <v>25149.0971666667</v>
      </c>
      <c r="H146" s="71" t="n">
        <f aca="false">H57+H58+H81+H82+H105+H106</f>
        <v>24718.4987</v>
      </c>
      <c r="I146" s="71" t="n">
        <f aca="false">I57+I58+I81+I82+I105+I106</f>
        <v>24984.7612</v>
      </c>
      <c r="J146" s="71" t="n">
        <f aca="false">J57+J58+J81+J82+J105+J106</f>
        <v>24984.7612</v>
      </c>
      <c r="K146" s="71" t="n">
        <f aca="false">K57+K58+K81+K82+K105+K106</f>
        <v>24984.7612</v>
      </c>
      <c r="L146" s="71" t="n">
        <f aca="false">L57+L58+L81+L82+L105+L106</f>
        <v>24984.7612</v>
      </c>
      <c r="M146" s="71" t="n">
        <f aca="false">M57+M58+M81+M82+M105+M106</f>
        <v>30810.3175966667</v>
      </c>
      <c r="N146" s="71" t="n">
        <f aca="false">N57+N58+N81+N82+N105+N106</f>
        <v>31151.9330544861</v>
      </c>
      <c r="O146" s="71" t="n">
        <f aca="false">O57+O58+O81+O82+O105+O106</f>
        <v>30966.0117635562</v>
      </c>
      <c r="P146" s="71" t="n">
        <f aca="false">P57+P58+P81+P82+P105+P106</f>
        <v>30956.9786134426</v>
      </c>
      <c r="Q146" s="71" t="n">
        <f aca="false">Q57+Q58+Q81+Q82+Q105+Q106</f>
        <v>33231.3606358769</v>
      </c>
      <c r="R146" s="71" t="n">
        <f aca="false">R57+R58+R81+R82+R105+R106</f>
        <v>33222.6097653391</v>
      </c>
      <c r="S146" s="71" t="n">
        <f aca="false">S57+S58+S81+S82+S105+S106</f>
        <v>33211.9468664461</v>
      </c>
      <c r="T146" s="71" t="n">
        <f aca="false">T57+T58+T81+T82+T105+T106</f>
        <v>33844.8265171134</v>
      </c>
      <c r="U146" s="71" t="n">
        <f aca="false">U57+U58+U81+U82+U105+U106</f>
        <v>33839.7909472836</v>
      </c>
      <c r="V146" s="71" t="n">
        <f aca="false">V57+V58+V81+V82+V105+V106</f>
        <v>33834.7015906728</v>
      </c>
      <c r="W146" s="71" t="n">
        <f aca="false">W57+W58+W81+W82+W105+W106</f>
        <v>33829.5378479872</v>
      </c>
      <c r="X146" s="71" t="n">
        <f aca="false">X57+X58+X81+X82+X105+X106</f>
        <v>33829.6633019063</v>
      </c>
      <c r="Y146" s="71" t="n">
        <f aca="false">Y57+Y58+Y81+Y82+Y105+Y106</f>
        <v>34502.2497269145</v>
      </c>
      <c r="Z146" s="71" t="n">
        <f aca="false">Z57+Z58+Z81+Z82+Z105+Z106</f>
        <v>34493.8844429332</v>
      </c>
      <c r="AA146" s="71" t="n">
        <f aca="false">AA57+AA58+AA81+AA82+AA105+AA106</f>
        <v>34485.5811917969</v>
      </c>
      <c r="AB146" s="71" t="n">
        <f aca="false">AB57+AB58+AB81+AB82+AB105+AB106</f>
        <v>34477.3827433538</v>
      </c>
    </row>
    <row r="147" customFormat="false" ht="15" hidden="false" customHeight="false" outlineLevel="0" collapsed="false">
      <c r="A147" s="29" t="s">
        <v>1197</v>
      </c>
      <c r="B147" s="60"/>
      <c r="C147" s="61" t="n">
        <f aca="false">SUM(E147:P147)</f>
        <v>23852.91871248</v>
      </c>
      <c r="D147" s="61" t="n">
        <f aca="false">SUM(Q147:AB147)</f>
        <v>28084.500003456</v>
      </c>
      <c r="E147" s="71" t="n">
        <f aca="false">E138+E139</f>
        <v>1851.841969656</v>
      </c>
      <c r="F147" s="71" t="n">
        <f aca="false">F138+F139</f>
        <v>1862.901278448</v>
      </c>
      <c r="G147" s="71" t="n">
        <f aca="false">G138+G139</f>
        <v>1850.619633072</v>
      </c>
      <c r="H147" s="71" t="n">
        <f aca="false">H138+H139</f>
        <v>1853.398646736</v>
      </c>
      <c r="I147" s="71" t="n">
        <f aca="false">I138+I139</f>
        <v>1858.815065016</v>
      </c>
      <c r="J147" s="71" t="n">
        <f aca="false">J138+J139</f>
        <v>1856.634694656</v>
      </c>
      <c r="K147" s="71" t="n">
        <f aca="false">K138+K139</f>
        <v>1864.586272752</v>
      </c>
      <c r="L147" s="71" t="n">
        <f aca="false">L138+L139</f>
        <v>1852.678843344</v>
      </c>
      <c r="M147" s="71" t="n">
        <f aca="false">M138+M139</f>
        <v>2250.3605772</v>
      </c>
      <c r="N147" s="71" t="n">
        <f aca="false">N138+N139</f>
        <v>2250.3605772</v>
      </c>
      <c r="O147" s="71" t="n">
        <f aca="false">O138+O139</f>
        <v>2250.3605772</v>
      </c>
      <c r="P147" s="71" t="n">
        <f aca="false">P138+P139</f>
        <v>2250.3605772</v>
      </c>
      <c r="Q147" s="71" t="n">
        <f aca="false">Q138+Q139</f>
        <v>2340.375000288</v>
      </c>
      <c r="R147" s="71" t="n">
        <f aca="false">R138+R139</f>
        <v>2340.375000288</v>
      </c>
      <c r="S147" s="71" t="n">
        <f aca="false">S138+S139</f>
        <v>2340.375000288</v>
      </c>
      <c r="T147" s="71" t="n">
        <f aca="false">T138+T139</f>
        <v>2340.375000288</v>
      </c>
      <c r="U147" s="71" t="n">
        <f aca="false">U138+U139</f>
        <v>2340.375000288</v>
      </c>
      <c r="V147" s="71" t="n">
        <f aca="false">V138+V139</f>
        <v>2340.375000288</v>
      </c>
      <c r="W147" s="71" t="n">
        <f aca="false">W138+W139</f>
        <v>2340.375000288</v>
      </c>
      <c r="X147" s="71" t="n">
        <f aca="false">X138+X139</f>
        <v>2340.375000288</v>
      </c>
      <c r="Y147" s="71" t="n">
        <f aca="false">Y138+Y139</f>
        <v>2340.375000288</v>
      </c>
      <c r="Z147" s="71" t="n">
        <f aca="false">Z138+Z139</f>
        <v>2340.375000288</v>
      </c>
      <c r="AA147" s="71" t="n">
        <f aca="false">AA138+AA139</f>
        <v>2340.375000288</v>
      </c>
      <c r="AB147" s="71" t="n">
        <f aca="false">AB138+AB139</f>
        <v>2340.375000288</v>
      </c>
    </row>
    <row r="148" customFormat="false" ht="15" hidden="false" customHeight="false" outlineLevel="0" collapsed="false">
      <c r="A148" s="29" t="s">
        <v>1198</v>
      </c>
      <c r="B148" s="60"/>
      <c r="C148" s="61" t="n">
        <f aca="false">SUM(E148:P148)</f>
        <v>346526.469740632</v>
      </c>
      <c r="D148" s="61" t="n">
        <f aca="false">SUM(Q148:AB148)</f>
        <v>434888.03558108</v>
      </c>
      <c r="E148" s="71" t="n">
        <f aca="false">E146+E147</f>
        <v>25950.6766363227</v>
      </c>
      <c r="F148" s="71" t="n">
        <f aca="false">F146+F147</f>
        <v>26745.7359451147</v>
      </c>
      <c r="G148" s="71" t="n">
        <f aca="false">G146+G147</f>
        <v>26999.7167997387</v>
      </c>
      <c r="H148" s="71" t="n">
        <f aca="false">H146+H147</f>
        <v>26571.897346736</v>
      </c>
      <c r="I148" s="71" t="n">
        <f aca="false">I146+I147</f>
        <v>26843.576265016</v>
      </c>
      <c r="J148" s="71" t="n">
        <f aca="false">J146+J147</f>
        <v>26841.395894656</v>
      </c>
      <c r="K148" s="71" t="n">
        <f aca="false">K146+K147</f>
        <v>26849.347472752</v>
      </c>
      <c r="L148" s="71" t="n">
        <f aca="false">L146+L147</f>
        <v>26837.440043344</v>
      </c>
      <c r="M148" s="71" t="n">
        <f aca="false">M146+M147</f>
        <v>33060.6781738667</v>
      </c>
      <c r="N148" s="71" t="n">
        <f aca="false">N146+N147</f>
        <v>33402.2936316861</v>
      </c>
      <c r="O148" s="71" t="n">
        <f aca="false">O146+O147</f>
        <v>33216.3723407562</v>
      </c>
      <c r="P148" s="71" t="n">
        <f aca="false">P146+P147</f>
        <v>33207.3391906426</v>
      </c>
      <c r="Q148" s="71" t="n">
        <f aca="false">Q146+Q147</f>
        <v>35571.7356361649</v>
      </c>
      <c r="R148" s="71" t="n">
        <f aca="false">R146+R147</f>
        <v>35562.9847656271</v>
      </c>
      <c r="S148" s="71" t="n">
        <f aca="false">S146+S147</f>
        <v>35552.3218667341</v>
      </c>
      <c r="T148" s="71" t="n">
        <f aca="false">T146+T147</f>
        <v>36185.2015174014</v>
      </c>
      <c r="U148" s="71" t="n">
        <f aca="false">U146+U147</f>
        <v>36180.1659475716</v>
      </c>
      <c r="V148" s="71" t="n">
        <f aca="false">V146+V147</f>
        <v>36175.0765909608</v>
      </c>
      <c r="W148" s="71" t="n">
        <f aca="false">W146+W147</f>
        <v>36169.9128482752</v>
      </c>
      <c r="X148" s="71" t="n">
        <f aca="false">X146+X147</f>
        <v>36170.0383021943</v>
      </c>
      <c r="Y148" s="71" t="n">
        <f aca="false">Y146+Y147</f>
        <v>36842.6247272025</v>
      </c>
      <c r="Z148" s="71" t="n">
        <f aca="false">Z146+Z147</f>
        <v>36834.2594432212</v>
      </c>
      <c r="AA148" s="71" t="n">
        <f aca="false">AA146+AA147</f>
        <v>36825.9561920849</v>
      </c>
      <c r="AB148" s="71" t="n">
        <f aca="false">AB146+AB147</f>
        <v>36817.7577436418</v>
      </c>
    </row>
    <row r="149" customFormat="false" ht="15" hidden="false" customHeight="false" outlineLevel="0" collapsed="false">
      <c r="A149" s="29" t="s">
        <v>1199</v>
      </c>
      <c r="B149" s="60" t="s">
        <v>1200</v>
      </c>
      <c r="C149" s="61" t="n">
        <f aca="false">SUM(E149:P149)</f>
        <v>392000</v>
      </c>
      <c r="D149" s="61" t="n">
        <f aca="false">SUM(Q149:AB149)</f>
        <v>346526.469740631</v>
      </c>
      <c r="E149" s="62" t="n">
        <f aca="false">IF(E$5="A",Inputs_Actuals!E174,0)</f>
        <v>0</v>
      </c>
      <c r="F149" s="62" t="n">
        <f aca="false">IF(F$5="A",Inputs_Actuals!F174,0)</f>
        <v>0</v>
      </c>
      <c r="G149" s="62" t="n">
        <f aca="false">IF(G$5="A",Inputs_Actuals!G174,0)</f>
        <v>392000</v>
      </c>
      <c r="H149" s="62" t="n">
        <f aca="false">IF(H$5="A",Inputs_Actuals!H174,0)</f>
        <v>0</v>
      </c>
      <c r="I149" s="62" t="n">
        <f aca="false">IF(I$5="A",Inputs_Actuals!I174,0)</f>
        <v>0</v>
      </c>
      <c r="J149" s="62" t="n">
        <f aca="false">IF(J$5="A",Inputs_Actuals!J174,0)</f>
        <v>0</v>
      </c>
      <c r="K149" s="62" t="n">
        <f aca="false">IF(K$5="A",Inputs_Actuals!K174,0)</f>
        <v>0</v>
      </c>
      <c r="L149" s="62" t="n">
        <f aca="false">IF(L$5="A",Inputs_Actuals!L174,0)</f>
        <v>0</v>
      </c>
      <c r="M149" s="62" t="n">
        <f aca="false">IF(M$5="A",Inputs_Actuals!M174,0)</f>
        <v>0</v>
      </c>
      <c r="N149" s="62" t="n">
        <f aca="false">IF(N$5="A",Inputs_Actuals!N174,0)</f>
        <v>0</v>
      </c>
      <c r="O149" s="62" t="n">
        <f aca="false">IF(O$5="A",Inputs_Actuals!O174,0)</f>
        <v>0</v>
      </c>
      <c r="P149" s="62" t="n">
        <f aca="false">IF(P$5="A",Inputs_Actuals!P174,0)</f>
        <v>0</v>
      </c>
      <c r="Q149" s="62" t="n">
        <f aca="false">IF(Q$5="A",Inputs_Actuals!Q174,0)</f>
        <v>0</v>
      </c>
      <c r="R149" s="62" t="n">
        <f aca="false">IF(R$5="A",Inputs_Actuals!R174,0)</f>
        <v>0</v>
      </c>
      <c r="S149" s="62" t="n">
        <f aca="false">IF(S$5="A",Inputs_Actuals!S174,P150)</f>
        <v>346526.469740631</v>
      </c>
      <c r="T149" s="62" t="n">
        <f aca="false">IF(T$5="A",Inputs_Actuals!T174,0)</f>
        <v>0</v>
      </c>
      <c r="U149" s="62" t="n">
        <f aca="false">IF(U$5="A",Inputs_Actuals!U174,0)</f>
        <v>0</v>
      </c>
      <c r="V149" s="62" t="n">
        <f aca="false">IF(V$5="A",Inputs_Actuals!V174,0)</f>
        <v>0</v>
      </c>
      <c r="W149" s="62" t="n">
        <f aca="false">IF(W$5="A",Inputs_Actuals!W174,0)</f>
        <v>0</v>
      </c>
      <c r="X149" s="62" t="n">
        <f aca="false">IF(X$5="A",Inputs_Actuals!X174,0)</f>
        <v>0</v>
      </c>
      <c r="Y149" s="62" t="n">
        <f aca="false">IF(Y$5="A",Inputs_Actuals!Y174,0)</f>
        <v>0</v>
      </c>
      <c r="Z149" s="62" t="n">
        <f aca="false">IF(Z$5="A",Inputs_Actuals!Z174,0)</f>
        <v>0</v>
      </c>
      <c r="AA149" s="62" t="n">
        <f aca="false">IF(AA$5="A",Inputs_Actuals!AA174,0)</f>
        <v>0</v>
      </c>
      <c r="AB149" s="62" t="n">
        <f aca="false">IF(AB$5="A",Inputs_Actuals!AB174,0)</f>
        <v>0</v>
      </c>
    </row>
    <row r="150" customFormat="false" ht="15" hidden="false" customHeight="false" outlineLevel="0" collapsed="false">
      <c r="A150" s="68" t="s">
        <v>1201</v>
      </c>
      <c r="B150" s="69" t="s">
        <v>1202</v>
      </c>
      <c r="C150" s="70" t="n">
        <f aca="false">P150</f>
        <v>346526.469740631</v>
      </c>
      <c r="D150" s="70" t="n">
        <f aca="false">AB150</f>
        <v>434888.03558108</v>
      </c>
      <c r="E150" s="74" t="n">
        <f aca="false">Inputs_Actuals!$C$210+E148-E149</f>
        <v>417950.676636323</v>
      </c>
      <c r="F150" s="70" t="n">
        <f aca="false">E150+F148-F149</f>
        <v>444696.412581437</v>
      </c>
      <c r="G150" s="70" t="n">
        <f aca="false">F150+G148-G149</f>
        <v>79696.129381176</v>
      </c>
      <c r="H150" s="70" t="n">
        <f aca="false">G150+H148-H149</f>
        <v>106268.026727912</v>
      </c>
      <c r="I150" s="70" t="n">
        <f aca="false">H150+I148-I149</f>
        <v>133111.602992928</v>
      </c>
      <c r="J150" s="70" t="n">
        <f aca="false">I150+J148-J149</f>
        <v>159952.998887584</v>
      </c>
      <c r="K150" s="70" t="n">
        <f aca="false">J150+K148-K149</f>
        <v>186802.346360336</v>
      </c>
      <c r="L150" s="70" t="n">
        <f aca="false">K150+L148-L149</f>
        <v>213639.78640368</v>
      </c>
      <c r="M150" s="70" t="n">
        <f aca="false">L150+M148-M149</f>
        <v>246700.464577547</v>
      </c>
      <c r="N150" s="70" t="n">
        <f aca="false">M150+N148-N149</f>
        <v>280102.758209233</v>
      </c>
      <c r="O150" s="70" t="n">
        <f aca="false">N150+O148-O149</f>
        <v>313319.130549989</v>
      </c>
      <c r="P150" s="70" t="n">
        <f aca="false">O150+P148-P149</f>
        <v>346526.469740631</v>
      </c>
      <c r="Q150" s="70" t="n">
        <f aca="false">P150+Q148-Q149</f>
        <v>382098.205376796</v>
      </c>
      <c r="R150" s="70" t="n">
        <f aca="false">Q150+R148-R149</f>
        <v>417661.190142423</v>
      </c>
      <c r="S150" s="70" t="n">
        <f aca="false">R150+S148-S149</f>
        <v>106687.042268526</v>
      </c>
      <c r="T150" s="70" t="n">
        <f aca="false">S150+T148-T149</f>
        <v>142872.243785927</v>
      </c>
      <c r="U150" s="70" t="n">
        <f aca="false">T150+U148-U149</f>
        <v>179052.409733499</v>
      </c>
      <c r="V150" s="70" t="n">
        <f aca="false">U150+V148-V149</f>
        <v>215227.48632446</v>
      </c>
      <c r="W150" s="70" t="n">
        <f aca="false">V150+W148-W149</f>
        <v>251397.399172735</v>
      </c>
      <c r="X150" s="70" t="n">
        <f aca="false">W150+X148-X149</f>
        <v>287567.437474929</v>
      </c>
      <c r="Y150" s="70" t="n">
        <f aca="false">X150+Y148-Y149</f>
        <v>324410.062202132</v>
      </c>
      <c r="Z150" s="70" t="n">
        <f aca="false">Y150+Z148-Z149</f>
        <v>361244.321645353</v>
      </c>
      <c r="AA150" s="70" t="n">
        <f aca="false">Z150+AA148-AA149</f>
        <v>398070.277837438</v>
      </c>
      <c r="AB150" s="70" t="n">
        <f aca="false">AA150+AB148-AB149</f>
        <v>434888.03558108</v>
      </c>
    </row>
    <row r="151" customFormat="false" ht="15" hidden="false" customHeight="false" outlineLevel="0" collapsed="false">
      <c r="A151" s="29" t="s">
        <v>1203</v>
      </c>
      <c r="B151" s="60" t="s">
        <v>1204</v>
      </c>
      <c r="C151" s="61" t="n">
        <f aca="false">SUM(E151:P151)</f>
        <v>11760</v>
      </c>
      <c r="D151" s="61" t="n">
        <f aca="false">SUM(Q151:AB151)</f>
        <v>10395.7940922189</v>
      </c>
      <c r="E151" s="62" t="n">
        <f aca="false">E149*Assumptions!$C$93</f>
        <v>0</v>
      </c>
      <c r="F151" s="62" t="n">
        <f aca="false">F149*Assumptions!$C$93</f>
        <v>0</v>
      </c>
      <c r="G151" s="62" t="n">
        <f aca="false">G149*Assumptions!$C$93</f>
        <v>11760</v>
      </c>
      <c r="H151" s="62" t="n">
        <f aca="false">H149*Assumptions!$C$93</f>
        <v>0</v>
      </c>
      <c r="I151" s="62" t="n">
        <f aca="false">I149*Assumptions!$C$93</f>
        <v>0</v>
      </c>
      <c r="J151" s="62" t="n">
        <f aca="false">J149*Assumptions!$C$93</f>
        <v>0</v>
      </c>
      <c r="K151" s="62" t="n">
        <f aca="false">K149*Assumptions!$C$93</f>
        <v>0</v>
      </c>
      <c r="L151" s="62" t="n">
        <f aca="false">L149*Assumptions!$C$93</f>
        <v>0</v>
      </c>
      <c r="M151" s="62" t="n">
        <f aca="false">M149*Assumptions!$C$93</f>
        <v>0</v>
      </c>
      <c r="N151" s="62" t="n">
        <f aca="false">N149*Assumptions!$C$93</f>
        <v>0</v>
      </c>
      <c r="O151" s="62" t="n">
        <f aca="false">O149*Assumptions!$C$93</f>
        <v>0</v>
      </c>
      <c r="P151" s="62" t="n">
        <f aca="false">P149*Assumptions!$C$93</f>
        <v>0</v>
      </c>
      <c r="Q151" s="62" t="n">
        <f aca="false">Q149*Assumptions!$C$93</f>
        <v>0</v>
      </c>
      <c r="R151" s="62" t="n">
        <f aca="false">R149*Assumptions!$C$93</f>
        <v>0</v>
      </c>
      <c r="S151" s="62" t="n">
        <f aca="false">S149*Assumptions!$C$93</f>
        <v>10395.7940922189</v>
      </c>
      <c r="T151" s="62" t="n">
        <f aca="false">T149*Assumptions!$C$93</f>
        <v>0</v>
      </c>
      <c r="U151" s="62" t="n">
        <f aca="false">U149*Assumptions!$C$93</f>
        <v>0</v>
      </c>
      <c r="V151" s="62" t="n">
        <f aca="false">V149*Assumptions!$C$93</f>
        <v>0</v>
      </c>
      <c r="W151" s="62" t="n">
        <f aca="false">W149*Assumptions!$C$93</f>
        <v>0</v>
      </c>
      <c r="X151" s="62" t="n">
        <f aca="false">X149*Assumptions!$C$93</f>
        <v>0</v>
      </c>
      <c r="Y151" s="62" t="n">
        <f aca="false">Y149*Assumptions!$C$93</f>
        <v>0</v>
      </c>
      <c r="Z151" s="62" t="n">
        <f aca="false">Z149*Assumptions!$C$93</f>
        <v>0</v>
      </c>
      <c r="AA151" s="62" t="n">
        <f aca="false">AA149*Assumptions!$C$93</f>
        <v>0</v>
      </c>
      <c r="AB151" s="62" t="n">
        <f aca="false">AB149*Assumptions!$C$93</f>
        <v>0</v>
      </c>
    </row>
    <row r="152" customFormat="false" ht="15" hidden="false" customHeight="false" outlineLevel="0" collapsed="false">
      <c r="A152" s="29" t="s">
        <v>1205</v>
      </c>
      <c r="B152" s="60" t="s">
        <v>1206</v>
      </c>
      <c r="C152" s="61" t="n">
        <f aca="false">SUM(E152:P152)</f>
        <v>380240</v>
      </c>
      <c r="D152" s="61" t="n">
        <f aca="false">SUM(Q152:AB152)</f>
        <v>336130.675648413</v>
      </c>
      <c r="E152" s="71" t="n">
        <f aca="false">E149-E151</f>
        <v>0</v>
      </c>
      <c r="F152" s="71" t="n">
        <f aca="false">F149-F151</f>
        <v>0</v>
      </c>
      <c r="G152" s="71" t="n">
        <f aca="false">G149-G151</f>
        <v>380240</v>
      </c>
      <c r="H152" s="71" t="n">
        <f aca="false">H149-H151</f>
        <v>0</v>
      </c>
      <c r="I152" s="71" t="n">
        <f aca="false">I149-I151</f>
        <v>0</v>
      </c>
      <c r="J152" s="71" t="n">
        <f aca="false">J149-J151</f>
        <v>0</v>
      </c>
      <c r="K152" s="71" t="n">
        <f aca="false">K149-K151</f>
        <v>0</v>
      </c>
      <c r="L152" s="71" t="n">
        <f aca="false">L149-L151</f>
        <v>0</v>
      </c>
      <c r="M152" s="71" t="n">
        <f aca="false">M149-M151</f>
        <v>0</v>
      </c>
      <c r="N152" s="71" t="n">
        <f aca="false">N149-N151</f>
        <v>0</v>
      </c>
      <c r="O152" s="71" t="n">
        <f aca="false">O149-O151</f>
        <v>0</v>
      </c>
      <c r="P152" s="71" t="n">
        <f aca="false">P149-P151</f>
        <v>0</v>
      </c>
      <c r="Q152" s="71" t="n">
        <f aca="false">Q149-Q151</f>
        <v>0</v>
      </c>
      <c r="R152" s="71" t="n">
        <f aca="false">R149-R151</f>
        <v>0</v>
      </c>
      <c r="S152" s="71" t="n">
        <f aca="false">S149-S151</f>
        <v>336130.675648413</v>
      </c>
      <c r="T152" s="71" t="n">
        <f aca="false">T149-T151</f>
        <v>0</v>
      </c>
      <c r="U152" s="71" t="n">
        <f aca="false">U149-U151</f>
        <v>0</v>
      </c>
      <c r="V152" s="71" t="n">
        <f aca="false">V149-V151</f>
        <v>0</v>
      </c>
      <c r="W152" s="71" t="n">
        <f aca="false">W149-W151</f>
        <v>0</v>
      </c>
      <c r="X152" s="71" t="n">
        <f aca="false">X149-X151</f>
        <v>0</v>
      </c>
      <c r="Y152" s="71" t="n">
        <f aca="false">Y149-Y151</f>
        <v>0</v>
      </c>
      <c r="Z152" s="71" t="n">
        <f aca="false">Z149-Z151</f>
        <v>0</v>
      </c>
      <c r="AA152" s="71" t="n">
        <f aca="false">AA149-AA151</f>
        <v>0</v>
      </c>
      <c r="AB152" s="71" t="n">
        <f aca="false">AB149-AB151</f>
        <v>0</v>
      </c>
    </row>
    <row r="153" customFormat="false" ht="15" hidden="false" customHeight="false" outlineLevel="0" collapsed="false">
      <c r="A153" s="29" t="s">
        <v>1207</v>
      </c>
      <c r="B153" s="60" t="s">
        <v>1208</v>
      </c>
      <c r="C153" s="61" t="n">
        <f aca="false">SUM(E153:P153)</f>
        <v>136886.4</v>
      </c>
      <c r="D153" s="61" t="n">
        <f aca="false">SUM(Q153:AB153)</f>
        <v>121007.043233429</v>
      </c>
      <c r="E153" s="62" t="n">
        <f aca="false">E152*Assumptions!$C$77</f>
        <v>0</v>
      </c>
      <c r="F153" s="62" t="n">
        <f aca="false">F152*Assumptions!$C$77</f>
        <v>0</v>
      </c>
      <c r="G153" s="62" t="n">
        <f aca="false">G152*Assumptions!$C$77</f>
        <v>136886.4</v>
      </c>
      <c r="H153" s="62" t="n">
        <f aca="false">H152*Assumptions!$C$77</f>
        <v>0</v>
      </c>
      <c r="I153" s="62" t="n">
        <f aca="false">I152*Assumptions!$C$77</f>
        <v>0</v>
      </c>
      <c r="J153" s="62" t="n">
        <f aca="false">J152*Assumptions!$C$77</f>
        <v>0</v>
      </c>
      <c r="K153" s="62" t="n">
        <f aca="false">K152*Assumptions!$C$77</f>
        <v>0</v>
      </c>
      <c r="L153" s="62" t="n">
        <f aca="false">L152*Assumptions!$C$77</f>
        <v>0</v>
      </c>
      <c r="M153" s="62" t="n">
        <f aca="false">M152*Assumptions!$C$77</f>
        <v>0</v>
      </c>
      <c r="N153" s="62" t="n">
        <f aca="false">N152*Assumptions!$C$77</f>
        <v>0</v>
      </c>
      <c r="O153" s="62" t="n">
        <f aca="false">O152*Assumptions!$C$77</f>
        <v>0</v>
      </c>
      <c r="P153" s="62" t="n">
        <f aca="false">P152*Assumptions!$C$77</f>
        <v>0</v>
      </c>
      <c r="Q153" s="62" t="n">
        <f aca="false">Q152*Assumptions!$C$77</f>
        <v>0</v>
      </c>
      <c r="R153" s="62" t="n">
        <f aca="false">R152*Assumptions!$C$77</f>
        <v>0</v>
      </c>
      <c r="S153" s="62" t="n">
        <f aca="false">S152*Assumptions!$C$77</f>
        <v>121007.043233429</v>
      </c>
      <c r="T153" s="62" t="n">
        <f aca="false">T152*Assumptions!$C$77</f>
        <v>0</v>
      </c>
      <c r="U153" s="62" t="n">
        <f aca="false">U152*Assumptions!$C$77</f>
        <v>0</v>
      </c>
      <c r="V153" s="62" t="n">
        <f aca="false">V152*Assumptions!$C$77</f>
        <v>0</v>
      </c>
      <c r="W153" s="62" t="n">
        <f aca="false">W152*Assumptions!$C$77</f>
        <v>0</v>
      </c>
      <c r="X153" s="62" t="n">
        <f aca="false">X152*Assumptions!$C$77</f>
        <v>0</v>
      </c>
      <c r="Y153" s="62" t="n">
        <f aca="false">Y152*Assumptions!$C$77</f>
        <v>0</v>
      </c>
      <c r="Z153" s="62" t="n">
        <f aca="false">Z152*Assumptions!$C$77</f>
        <v>0</v>
      </c>
      <c r="AA153" s="62" t="n">
        <f aca="false">AA152*Assumptions!$C$77</f>
        <v>0</v>
      </c>
      <c r="AB153" s="62" t="n">
        <f aca="false">AB152*Assumptions!$C$77</f>
        <v>0</v>
      </c>
    </row>
    <row r="154" customFormat="false" ht="15" hidden="false" customHeight="false" outlineLevel="0" collapsed="false">
      <c r="A154" s="29" t="s">
        <v>1209</v>
      </c>
      <c r="B154" s="60" t="s">
        <v>1210</v>
      </c>
      <c r="C154" s="61" t="n">
        <f aca="false">SUM(E154:P154)</f>
        <v>11760</v>
      </c>
      <c r="D154" s="61" t="n">
        <f aca="false">SUM(Q154:AB154)</f>
        <v>10395.7940922189</v>
      </c>
      <c r="E154" s="71" t="n">
        <f aca="false">E151</f>
        <v>0</v>
      </c>
      <c r="F154" s="71" t="n">
        <f aca="false">F151</f>
        <v>0</v>
      </c>
      <c r="G154" s="71" t="n">
        <f aca="false">G151</f>
        <v>11760</v>
      </c>
      <c r="H154" s="71" t="n">
        <f aca="false">H151</f>
        <v>0</v>
      </c>
      <c r="I154" s="71" t="n">
        <f aca="false">I151</f>
        <v>0</v>
      </c>
      <c r="J154" s="71" t="n">
        <f aca="false">J151</f>
        <v>0</v>
      </c>
      <c r="K154" s="71" t="n">
        <f aca="false">K151</f>
        <v>0</v>
      </c>
      <c r="L154" s="71" t="n">
        <f aca="false">L151</f>
        <v>0</v>
      </c>
      <c r="M154" s="71" t="n">
        <f aca="false">M151</f>
        <v>0</v>
      </c>
      <c r="N154" s="71" t="n">
        <f aca="false">N151</f>
        <v>0</v>
      </c>
      <c r="O154" s="71" t="n">
        <f aca="false">O151</f>
        <v>0</v>
      </c>
      <c r="P154" s="71" t="n">
        <f aca="false">P151</f>
        <v>0</v>
      </c>
      <c r="Q154" s="71" t="n">
        <f aca="false">Q151</f>
        <v>0</v>
      </c>
      <c r="R154" s="71" t="n">
        <f aca="false">R151</f>
        <v>0</v>
      </c>
      <c r="S154" s="71" t="n">
        <f aca="false">S151</f>
        <v>10395.7940922189</v>
      </c>
      <c r="T154" s="71" t="n">
        <f aca="false">T151</f>
        <v>0</v>
      </c>
      <c r="U154" s="71" t="n">
        <f aca="false">U151</f>
        <v>0</v>
      </c>
      <c r="V154" s="71" t="n">
        <f aca="false">V151</f>
        <v>0</v>
      </c>
      <c r="W154" s="71" t="n">
        <f aca="false">W151</f>
        <v>0</v>
      </c>
      <c r="X154" s="71" t="n">
        <f aca="false">X151</f>
        <v>0</v>
      </c>
      <c r="Y154" s="71" t="n">
        <f aca="false">Y151</f>
        <v>0</v>
      </c>
      <c r="Z154" s="71" t="n">
        <f aca="false">Z151</f>
        <v>0</v>
      </c>
      <c r="AA154" s="71" t="n">
        <f aca="false">AA151</f>
        <v>0</v>
      </c>
      <c r="AB154" s="71" t="n">
        <f aca="false">AB151</f>
        <v>0</v>
      </c>
    </row>
    <row r="155" customFormat="false" ht="15" hidden="false" customHeight="false" outlineLevel="0" collapsed="false">
      <c r="A155" s="29" t="s">
        <v>1211</v>
      </c>
      <c r="B155" s="60"/>
      <c r="C155" s="61" t="n">
        <f aca="false">SUM(E155:P155)</f>
        <v>231593.6</v>
      </c>
      <c r="D155" s="61" t="n">
        <f aca="false">SUM(Q155:AB155)</f>
        <v>204727.838322765</v>
      </c>
      <c r="E155" s="71" t="n">
        <f aca="false">E152-E153-E154</f>
        <v>0</v>
      </c>
      <c r="F155" s="71" t="n">
        <f aca="false">F152-F153-F154</f>
        <v>0</v>
      </c>
      <c r="G155" s="71" t="n">
        <f aca="false">G152-G153-G154</f>
        <v>231593.6</v>
      </c>
      <c r="H155" s="71" t="n">
        <f aca="false">H152-H153-H154</f>
        <v>0</v>
      </c>
      <c r="I155" s="71" t="n">
        <f aca="false">I152-I153-I154</f>
        <v>0</v>
      </c>
      <c r="J155" s="71" t="n">
        <f aca="false">J152-J153-J154</f>
        <v>0</v>
      </c>
      <c r="K155" s="71" t="n">
        <f aca="false">K152-K153-K154</f>
        <v>0</v>
      </c>
      <c r="L155" s="71" t="n">
        <f aca="false">L152-L153-L154</f>
        <v>0</v>
      </c>
      <c r="M155" s="71" t="n">
        <f aca="false">M152-M153-M154</f>
        <v>0</v>
      </c>
      <c r="N155" s="71" t="n">
        <f aca="false">N152-N153-N154</f>
        <v>0</v>
      </c>
      <c r="O155" s="71" t="n">
        <f aca="false">O152-O153-O154</f>
        <v>0</v>
      </c>
      <c r="P155" s="71" t="n">
        <f aca="false">P152-P153-P154</f>
        <v>0</v>
      </c>
      <c r="Q155" s="71" t="n">
        <f aca="false">Q152-Q153-Q154</f>
        <v>0</v>
      </c>
      <c r="R155" s="71" t="n">
        <f aca="false">R152-R153-R154</f>
        <v>0</v>
      </c>
      <c r="S155" s="71" t="n">
        <f aca="false">S152-S153-S154</f>
        <v>204727.838322765</v>
      </c>
      <c r="T155" s="71" t="n">
        <f aca="false">T152-T153-T154</f>
        <v>0</v>
      </c>
      <c r="U155" s="71" t="n">
        <f aca="false">U152-U153-U154</f>
        <v>0</v>
      </c>
      <c r="V155" s="71" t="n">
        <f aca="false">V152-V153-V154</f>
        <v>0</v>
      </c>
      <c r="W155" s="71" t="n">
        <f aca="false">W152-W153-W154</f>
        <v>0</v>
      </c>
      <c r="X155" s="71" t="n">
        <f aca="false">X152-X153-X154</f>
        <v>0</v>
      </c>
      <c r="Y155" s="71" t="n">
        <f aca="false">Y152-Y153-Y154</f>
        <v>0</v>
      </c>
      <c r="Z155" s="71" t="n">
        <f aca="false">Z152-Z153-Z154</f>
        <v>0</v>
      </c>
      <c r="AA155" s="71" t="n">
        <f aca="false">AA152-AA153-AA154</f>
        <v>0</v>
      </c>
      <c r="AB155" s="71" t="n">
        <f aca="false">AB152-AB153-AB154</f>
        <v>0</v>
      </c>
    </row>
    <row r="156" customFormat="false" ht="15" hidden="false" customHeight="false" outlineLevel="0" collapsed="false">
      <c r="A156" s="29" t="s">
        <v>1212</v>
      </c>
      <c r="B156" s="60"/>
      <c r="C156" s="61" t="n">
        <f aca="false">SUM(E156:P156)</f>
        <v>3943602.50635403</v>
      </c>
      <c r="D156" s="61" t="n">
        <f aca="false">SUM(Q156:AB156)</f>
        <v>4449028.98333793</v>
      </c>
      <c r="E156" s="71" t="n">
        <f aca="false">E53+E77+E101+E134</f>
        <v>313579.47</v>
      </c>
      <c r="F156" s="71" t="n">
        <f aca="false">F53+F77+F101+F134</f>
        <v>323493.64</v>
      </c>
      <c r="G156" s="71" t="n">
        <f aca="false">G53+G77+G101+G134</f>
        <v>328555.15</v>
      </c>
      <c r="H156" s="71" t="n">
        <f aca="false">H53+H77+H101+H134</f>
        <v>321718.21</v>
      </c>
      <c r="I156" s="71" t="n">
        <f aca="false">I53+I77+I101+I134</f>
        <v>326292.22</v>
      </c>
      <c r="J156" s="71" t="n">
        <f aca="false">J53+J77+J101+J134</f>
        <v>326320.65</v>
      </c>
      <c r="K156" s="71" t="n">
        <f aca="false">K53+K77+K101+K134</f>
        <v>326887.39</v>
      </c>
      <c r="L156" s="71" t="n">
        <f aca="false">L53+L77+L101+L134</f>
        <v>326991.7</v>
      </c>
      <c r="M156" s="71" t="n">
        <f aca="false">M53+M77+M101+M134</f>
        <v>335119.388888889</v>
      </c>
      <c r="N156" s="71" t="n">
        <f aca="false">N53+N77+N101+N134</f>
        <v>339796.96412037</v>
      </c>
      <c r="O156" s="71" t="n">
        <f aca="false">O53+O77+O101+O134</f>
        <v>337495.839433835</v>
      </c>
      <c r="P156" s="71" t="n">
        <f aca="false">P53+P77+P101+P134</f>
        <v>337351.883910932</v>
      </c>
      <c r="Q156" s="71" t="n">
        <f aca="false">Q53+Q77+Q101+Q134</f>
        <v>362856.292055126</v>
      </c>
      <c r="R156" s="71" t="n">
        <f aca="false">R53+R77+R101+R134</f>
        <v>362754.615456051</v>
      </c>
      <c r="S156" s="71" t="n">
        <f aca="false">S53+S77+S101+S134</f>
        <v>362627.831667039</v>
      </c>
      <c r="T156" s="71" t="n">
        <f aca="false">T53+T77+T101+T134</f>
        <v>368809.850797278</v>
      </c>
      <c r="U156" s="71" t="n">
        <f aca="false">U53+U77+U101+U134</f>
        <v>368761.241288428</v>
      </c>
      <c r="V156" s="71" t="n">
        <f aca="false">V53+V77+V101+V134</f>
        <v>368711.897819546</v>
      </c>
      <c r="W156" s="71" t="n">
        <f aca="false">W53+W77+W101+W134</f>
        <v>368661.540067979</v>
      </c>
      <c r="X156" s="71" t="n">
        <f aca="false">X53+X77+X101+X134</f>
        <v>368662.750286291</v>
      </c>
      <c r="Y156" s="71" t="n">
        <f aca="false">Y53+Y77+Y101+Y134</f>
        <v>379496.891516018</v>
      </c>
      <c r="Z156" s="71" t="n">
        <f aca="false">Z53+Z77+Z101+Z134</f>
        <v>379361.873876282</v>
      </c>
      <c r="AA156" s="71" t="n">
        <f aca="false">AA53+AA77+AA101+AA134</f>
        <v>379228.130304645</v>
      </c>
      <c r="AB156" s="71" t="n">
        <f aca="false">AB53+AB77+AB101+AB134</f>
        <v>379096.068203246</v>
      </c>
    </row>
    <row r="157" customFormat="false" ht="15" hidden="false" customHeight="false" outlineLevel="0" collapsed="false">
      <c r="A157" s="29" t="s">
        <v>1213</v>
      </c>
      <c r="B157" s="60"/>
      <c r="C157" s="61" t="n">
        <f aca="false">SUM(E157:P157)</f>
        <v>613589.141734189</v>
      </c>
      <c r="D157" s="61" t="n">
        <f aca="false">SUM(Q157:AB157)</f>
        <v>717377.461445888</v>
      </c>
      <c r="E157" s="71" t="n">
        <f aca="false">E55+E79+E103+E136</f>
        <v>48317.2925166667</v>
      </c>
      <c r="F157" s="71" t="n">
        <f aca="false">F55+F79+F103+F136</f>
        <v>49840.1612666667</v>
      </c>
      <c r="G157" s="71" t="n">
        <f aca="false">G55+G79+G103+G136</f>
        <v>50954.2237666667</v>
      </c>
      <c r="H157" s="71" t="n">
        <f aca="false">H55+H79+H103+H136</f>
        <v>49593.88835</v>
      </c>
      <c r="I157" s="71" t="n">
        <f aca="false">I55+I79+I103+I136</f>
        <v>50707.95085</v>
      </c>
      <c r="J157" s="71" t="n">
        <f aca="false">J55+J79+J103+J136</f>
        <v>50707.95085</v>
      </c>
      <c r="K157" s="71" t="n">
        <f aca="false">K55+K79+K103+K136</f>
        <v>50707.95085</v>
      </c>
      <c r="L157" s="71" t="n">
        <f aca="false">L55+L79+L103+L136</f>
        <v>50707.95085</v>
      </c>
      <c r="M157" s="71" t="n">
        <f aca="false">M55+M79+M103+M136</f>
        <v>52535.9104333333</v>
      </c>
      <c r="N157" s="71" t="n">
        <f aca="false">N55+N79+N103+N136</f>
        <v>53472.7021646701</v>
      </c>
      <c r="O157" s="71" t="n">
        <f aca="false">O55+O79+O103+O136</f>
        <v>53036.9235543086</v>
      </c>
      <c r="P157" s="71" t="n">
        <f aca="false">P55+P79+P103+P136</f>
        <v>53006.2362818766</v>
      </c>
      <c r="Q157" s="71" t="n">
        <f aca="false">Q55+Q79+Q103+Q136</f>
        <v>58300.9111130705</v>
      </c>
      <c r="R157" s="71" t="n">
        <f aca="false">R55+R79+R103+R136</f>
        <v>58281.7215174864</v>
      </c>
      <c r="S157" s="71" t="n">
        <f aca="false">S55+S79+S103+S136</f>
        <v>58257.5476600803</v>
      </c>
      <c r="T157" s="71" t="n">
        <f aca="false">T55+T79+T103+T136</f>
        <v>59290.1097932105</v>
      </c>
      <c r="U157" s="71" t="n">
        <f aca="false">U55+U79+U103+U136</f>
        <v>59282.0679999795</v>
      </c>
      <c r="V157" s="71" t="n">
        <f aca="false">V55+V79+V103+V136</f>
        <v>59273.8752751504</v>
      </c>
      <c r="W157" s="71" t="n">
        <f aca="false">W55+W79+W103+W136</f>
        <v>59265.4750277535</v>
      </c>
      <c r="X157" s="71" t="n">
        <f aca="false">X55+X79+X103+X136</f>
        <v>59265.6751428663</v>
      </c>
      <c r="Y157" s="71" t="n">
        <f aca="false">Y55+Y79+Y103+Y136</f>
        <v>61583.0591564483</v>
      </c>
      <c r="Z157" s="71" t="n">
        <f aca="false">Z55+Z79+Z103+Z136</f>
        <v>61554.1599817819</v>
      </c>
      <c r="AA157" s="71" t="n">
        <f aca="false">AA55+AA79+AA103+AA136</f>
        <v>61525.5531956196</v>
      </c>
      <c r="AB157" s="71" t="n">
        <f aca="false">AB55+AB79+AB103+AB136</f>
        <v>61497.3055824405</v>
      </c>
    </row>
    <row r="158" customFormat="false" ht="15" hidden="false" customHeight="false" outlineLevel="0" collapsed="false">
      <c r="A158" s="29" t="s">
        <v>1214</v>
      </c>
      <c r="B158" s="60"/>
      <c r="C158" s="61" t="n">
        <f aca="false">SUM(E158:P158)</f>
        <v>625428.320660359</v>
      </c>
      <c r="D158" s="61" t="n">
        <f aca="false">SUM(Q158:AB158)</f>
        <v>730620.205217025</v>
      </c>
      <c r="E158" s="71" t="n">
        <f aca="false">E54+E78+E102+E135</f>
        <v>49213.02</v>
      </c>
      <c r="F158" s="71" t="n">
        <f aca="false">F54+F78+F102+F135</f>
        <v>50853.04</v>
      </c>
      <c r="G158" s="71" t="n">
        <f aca="false">G54+G78+G102+G135</f>
        <v>51890.25</v>
      </c>
      <c r="H158" s="71" t="n">
        <f aca="false">H54+H78+H102+H135</f>
        <v>50622.29</v>
      </c>
      <c r="I158" s="71" t="n">
        <f aca="false">I54+I78+I102+I135</f>
        <v>51710.48</v>
      </c>
      <c r="J158" s="71" t="n">
        <f aca="false">J54+J78+J102+J135</f>
        <v>51629.5</v>
      </c>
      <c r="K158" s="71" t="n">
        <f aca="false">K54+K78+K102+K135</f>
        <v>51661.57</v>
      </c>
      <c r="L158" s="71" t="n">
        <f aca="false">L54+L78+L102+L135</f>
        <v>51769.62</v>
      </c>
      <c r="M158" s="71" t="n">
        <f aca="false">M54+M78+M102+M135</f>
        <v>53533.4715958333</v>
      </c>
      <c r="N158" s="71" t="n">
        <f aca="false">N54+N78+N102+N135</f>
        <v>54487.9517961806</v>
      </c>
      <c r="O158" s="71" t="n">
        <f aca="false">O54+O78+O102+O135</f>
        <v>54044.15375291</v>
      </c>
      <c r="P158" s="71" t="n">
        <f aca="false">P54+P78+P102+P135</f>
        <v>54012.9735154355</v>
      </c>
      <c r="Q158" s="71" t="n">
        <f aca="false">Q54+Q78+Q102+Q135</f>
        <v>59377.0142500395</v>
      </c>
      <c r="R158" s="71" t="n">
        <f aca="false">R54+R78+R102+R135</f>
        <v>59357.456039423</v>
      </c>
      <c r="S158" s="71" t="n">
        <f aca="false">S54+S78+S102+S135</f>
        <v>59332.8270169818</v>
      </c>
      <c r="T158" s="71" t="n">
        <f aca="false">T54+T78+T102+T135</f>
        <v>60387.7767219889</v>
      </c>
      <c r="U158" s="71" t="n">
        <f aca="false">U54+U78+U102+U135</f>
        <v>60379.5588266408</v>
      </c>
      <c r="V158" s="71" t="n">
        <f aca="false">V54+V78+V102+V135</f>
        <v>60371.1873428949</v>
      </c>
      <c r="W158" s="71" t="n">
        <f aca="false">W54+W78+W102+W135</f>
        <v>60362.6047138075</v>
      </c>
      <c r="X158" s="71" t="n">
        <f aca="false">X54+X78+X102+X135</f>
        <v>60362.8092139487</v>
      </c>
      <c r="Y158" s="71" t="n">
        <f aca="false">Y54+Y78+Y102+Y135</f>
        <v>62715.9461545417</v>
      </c>
      <c r="Z158" s="71" t="n">
        <f aca="false">Z54+Z78+Z102+Z135</f>
        <v>62686.6015502094</v>
      </c>
      <c r="AA158" s="71" t="n">
        <f aca="false">AA54+AA78+AA102+AA135</f>
        <v>62657.5534039003</v>
      </c>
      <c r="AB158" s="71" t="n">
        <f aca="false">AB54+AB78+AB102+AB135</f>
        <v>62628.8699826487</v>
      </c>
    </row>
    <row r="159" customFormat="false" ht="15" hidden="false" customHeight="false" outlineLevel="0" collapsed="false">
      <c r="A159" s="29" t="s">
        <v>1215</v>
      </c>
      <c r="B159" s="60"/>
      <c r="C159" s="61" t="n">
        <f aca="false">SUM(E159:P159)</f>
        <v>1116666.68751634</v>
      </c>
      <c r="D159" s="61" t="n">
        <f aca="false">SUM(Q159:AB159)</f>
        <v>1246220.00597982</v>
      </c>
      <c r="E159" s="71" t="n">
        <f aca="false">E56+E80+E104+E137</f>
        <v>89474.3384666667</v>
      </c>
      <c r="F159" s="71" t="n">
        <f aca="false">F56+F80+F104+F137</f>
        <v>92228.5977333333</v>
      </c>
      <c r="G159" s="71" t="n">
        <f aca="false">G56+G80+G104+G137</f>
        <v>93269.4949333333</v>
      </c>
      <c r="H159" s="71" t="n">
        <f aca="false">H56+H80+H104+H137</f>
        <v>91552.2874666667</v>
      </c>
      <c r="I159" s="71" t="n">
        <f aca="false">I56+I80+I104+I137</f>
        <v>92669.3464666667</v>
      </c>
      <c r="J159" s="71" t="n">
        <f aca="false">J56+J80+J104+J137</f>
        <v>92659.9634666667</v>
      </c>
      <c r="K159" s="71" t="n">
        <f aca="false">K56+K80+K104+K137</f>
        <v>92694.1822666667</v>
      </c>
      <c r="L159" s="71" t="n">
        <f aca="false">L56+L80+L104+L137</f>
        <v>92642.9398666667</v>
      </c>
      <c r="M159" s="71" t="n">
        <f aca="false">M56+M80+M104+M137</f>
        <v>94291.4577777778</v>
      </c>
      <c r="N159" s="71" t="n">
        <f aca="false">N56+N80+N104+N137</f>
        <v>95457.5658796296</v>
      </c>
      <c r="O159" s="71" t="n">
        <f aca="false">O56+O80+O104+O137</f>
        <v>94878.8449729938</v>
      </c>
      <c r="P159" s="71" t="n">
        <f aca="false">P56+P80+P104+P137</f>
        <v>94847.6682192764</v>
      </c>
      <c r="Q159" s="71" t="n">
        <f aca="false">Q56+Q80+Q104+Q137</f>
        <v>101837.915484294</v>
      </c>
      <c r="R159" s="71" t="n">
        <f aca="false">R56+R80+R104+R137</f>
        <v>101810.669889937</v>
      </c>
      <c r="S159" s="71" t="n">
        <f aca="false">S56+S80+S104+S137</f>
        <v>101777.321725546</v>
      </c>
      <c r="T159" s="71" t="n">
        <f aca="false">T56+T80+T104+T137</f>
        <v>103573.620394169</v>
      </c>
      <c r="U159" s="71" t="n">
        <f aca="false">U56+U80+U104+U137</f>
        <v>103559.409189304</v>
      </c>
      <c r="V159" s="71" t="n">
        <f aca="false">V56+V80+V104+V137</f>
        <v>103545.014351401</v>
      </c>
      <c r="W159" s="71" t="n">
        <f aca="false">W56+W80+W104+W137</f>
        <v>103530.369181791</v>
      </c>
      <c r="X159" s="71" t="n">
        <f aca="false">X56+X80+X104+X137</f>
        <v>103530.723158026</v>
      </c>
      <c r="Y159" s="71" t="n">
        <f aca="false">Y56+Y80+Y104+Y137</f>
        <v>105805.958993546</v>
      </c>
      <c r="Z159" s="71" t="n">
        <f aca="false">Z56+Z80+Z104+Z137</f>
        <v>105777.637672164</v>
      </c>
      <c r="AA159" s="71" t="n">
        <f aca="false">AA56+AA80+AA104+AA137</f>
        <v>105749.549890318</v>
      </c>
      <c r="AB159" s="71" t="n">
        <f aca="false">AB56+AB80+AB104+AB137</f>
        <v>105721.816049325</v>
      </c>
    </row>
    <row r="160" customFormat="false" ht="15" hidden="false" customHeight="false" outlineLevel="0" collapsed="false">
      <c r="A160" s="29" t="s">
        <v>1216</v>
      </c>
      <c r="B160" s="60" t="s">
        <v>1217</v>
      </c>
      <c r="C160" s="61" t="n">
        <f aca="false">SUM(E160:P160)</f>
        <v>2213346.67710349</v>
      </c>
      <c r="D160" s="61" t="n">
        <f aca="false">SUM(Q160:AB160)</f>
        <v>2485431.51591222</v>
      </c>
      <c r="E160" s="71" t="n">
        <f aca="false">E156-E157-E159</f>
        <v>175787.839016667</v>
      </c>
      <c r="F160" s="71" t="n">
        <f aca="false">F156-F157-F159</f>
        <v>181424.881</v>
      </c>
      <c r="G160" s="71" t="n">
        <f aca="false">G156-G157-G159</f>
        <v>184331.4313</v>
      </c>
      <c r="H160" s="71" t="n">
        <f aca="false">H156-H157-H159</f>
        <v>180572.034183333</v>
      </c>
      <c r="I160" s="71" t="n">
        <f aca="false">I156-I157-I159</f>
        <v>182914.922683333</v>
      </c>
      <c r="J160" s="71" t="n">
        <f aca="false">J156-J157-J159</f>
        <v>182952.735683333</v>
      </c>
      <c r="K160" s="71" t="n">
        <f aca="false">K156-K157-K159</f>
        <v>183485.256883333</v>
      </c>
      <c r="L160" s="71" t="n">
        <f aca="false">L156-L157-L159</f>
        <v>183640.809283333</v>
      </c>
      <c r="M160" s="71" t="n">
        <f aca="false">M156-M157-M159</f>
        <v>188292.020677778</v>
      </c>
      <c r="N160" s="71" t="n">
        <f aca="false">N156-N157-N159</f>
        <v>190866.696076071</v>
      </c>
      <c r="O160" s="71" t="n">
        <f aca="false">O156-O157-O159</f>
        <v>189580.070906532</v>
      </c>
      <c r="P160" s="71" t="n">
        <f aca="false">P156-P157-P159</f>
        <v>189497.979409779</v>
      </c>
      <c r="Q160" s="71" t="n">
        <f aca="false">Q156-Q157-Q159</f>
        <v>202717.465457762</v>
      </c>
      <c r="R160" s="71" t="n">
        <f aca="false">R156-R157-R159</f>
        <v>202662.224048628</v>
      </c>
      <c r="S160" s="71" t="n">
        <f aca="false">S156-S157-S159</f>
        <v>202592.962281413</v>
      </c>
      <c r="T160" s="71" t="n">
        <f aca="false">T156-T157-T159</f>
        <v>205946.120609898</v>
      </c>
      <c r="U160" s="71" t="n">
        <f aca="false">U156-U157-U159</f>
        <v>205919.764099144</v>
      </c>
      <c r="V160" s="71" t="n">
        <f aca="false">V156-V157-V159</f>
        <v>205893.008192995</v>
      </c>
      <c r="W160" s="71" t="n">
        <f aca="false">W156-W157-W159</f>
        <v>205865.695858434</v>
      </c>
      <c r="X160" s="71" t="n">
        <f aca="false">X156-X157-X159</f>
        <v>205866.351985399</v>
      </c>
      <c r="Y160" s="71" t="n">
        <f aca="false">Y156-Y157-Y159</f>
        <v>212107.873366024</v>
      </c>
      <c r="Z160" s="71" t="n">
        <f aca="false">Z156-Z157-Z159</f>
        <v>212030.076222336</v>
      </c>
      <c r="AA160" s="71" t="n">
        <f aca="false">AA156-AA157-AA159</f>
        <v>211953.027218707</v>
      </c>
      <c r="AB160" s="71" t="n">
        <f aca="false">AB156-AB157-AB159</f>
        <v>211876.946571481</v>
      </c>
    </row>
    <row r="161" customFormat="false" ht="15" hidden="false" customHeight="false" outlineLevel="0" collapsed="false">
      <c r="A161" s="29" t="s">
        <v>1218</v>
      </c>
      <c r="B161" s="60" t="s">
        <v>1219</v>
      </c>
      <c r="C161" s="61" t="n">
        <f aca="false">SUM(E161:P161)</f>
        <v>1262537.46239455</v>
      </c>
      <c r="D161" s="61" t="n">
        <f aca="false">SUM(Q161:AB161)</f>
        <v>1468789.25484735</v>
      </c>
      <c r="E161" s="71" t="n">
        <f aca="false">E158+E157+E151+E154</f>
        <v>97530.3125166667</v>
      </c>
      <c r="F161" s="71" t="n">
        <f aca="false">F158+F157+F151+F154</f>
        <v>100693.201266667</v>
      </c>
      <c r="G161" s="71" t="n">
        <f aca="false">G158+G157+G151+G154</f>
        <v>126364.473766667</v>
      </c>
      <c r="H161" s="71" t="n">
        <f aca="false">H158+H157+H151+H154</f>
        <v>100216.17835</v>
      </c>
      <c r="I161" s="71" t="n">
        <f aca="false">I158+I157+I151+I154</f>
        <v>102418.43085</v>
      </c>
      <c r="J161" s="71" t="n">
        <f aca="false">J158+J157+J151+J154</f>
        <v>102337.45085</v>
      </c>
      <c r="K161" s="71" t="n">
        <f aca="false">K158+K157+K151+K154</f>
        <v>102369.52085</v>
      </c>
      <c r="L161" s="71" t="n">
        <f aca="false">L158+L157+L151+L154</f>
        <v>102477.57085</v>
      </c>
      <c r="M161" s="71" t="n">
        <f aca="false">M158+M157+M151+M154</f>
        <v>106069.382029167</v>
      </c>
      <c r="N161" s="71" t="n">
        <f aca="false">N158+N157+N151+N154</f>
        <v>107960.653960851</v>
      </c>
      <c r="O161" s="71" t="n">
        <f aca="false">O158+O157+O151+O154</f>
        <v>107081.077307219</v>
      </c>
      <c r="P161" s="71" t="n">
        <f aca="false">P158+P157+P151+P154</f>
        <v>107019.209797312</v>
      </c>
      <c r="Q161" s="71" t="n">
        <f aca="false">Q158+Q157+Q151+Q154</f>
        <v>117677.92536311</v>
      </c>
      <c r="R161" s="71" t="n">
        <f aca="false">R158+R157+R151+R154</f>
        <v>117639.177556909</v>
      </c>
      <c r="S161" s="71" t="n">
        <f aca="false">S158+S157+S151+S154</f>
        <v>138381.9628615</v>
      </c>
      <c r="T161" s="71" t="n">
        <f aca="false">T158+T157+T151+T154</f>
        <v>119677.886515199</v>
      </c>
      <c r="U161" s="71" t="n">
        <f aca="false">U158+U157+U151+U154</f>
        <v>119661.62682662</v>
      </c>
      <c r="V161" s="71" t="n">
        <f aca="false">V158+V157+V151+V154</f>
        <v>119645.062618045</v>
      </c>
      <c r="W161" s="71" t="n">
        <f aca="false">W158+W157+W151+W154</f>
        <v>119628.079741561</v>
      </c>
      <c r="X161" s="71" t="n">
        <f aca="false">X158+X157+X151+X154</f>
        <v>119628.484356815</v>
      </c>
      <c r="Y161" s="71" t="n">
        <f aca="false">Y158+Y157+Y151+Y154</f>
        <v>124299.00531099</v>
      </c>
      <c r="Z161" s="71" t="n">
        <f aca="false">Z158+Z157+Z151+Z154</f>
        <v>124240.761531991</v>
      </c>
      <c r="AA161" s="71" t="n">
        <f aca="false">AA158+AA157+AA151+AA154</f>
        <v>124183.10659952</v>
      </c>
      <c r="AB161" s="71" t="n">
        <f aca="false">AB158+AB157+AB151+AB154</f>
        <v>124126.175565089</v>
      </c>
    </row>
    <row r="162" customFormat="false" ht="15" hidden="false" customHeight="false" outlineLevel="0" collapsed="false">
      <c r="A162" s="29" t="s">
        <v>1220</v>
      </c>
      <c r="B162" s="60"/>
      <c r="E162" s="62" t="n">
        <f aca="false">Inputs_Actuals!$C$207</f>
        <v>89480.35</v>
      </c>
      <c r="F162" s="71" t="n">
        <f aca="false">E165</f>
        <v>89474.3384666667</v>
      </c>
      <c r="G162" s="71" t="n">
        <f aca="false">F165</f>
        <v>92228.5977333333</v>
      </c>
      <c r="H162" s="71" t="n">
        <f aca="false">G165</f>
        <v>230155.894933333</v>
      </c>
      <c r="I162" s="71" t="n">
        <f aca="false">H165</f>
        <v>91552.2874666666</v>
      </c>
      <c r="J162" s="71" t="n">
        <f aca="false">I165</f>
        <v>92669.3464666666</v>
      </c>
      <c r="K162" s="71" t="n">
        <f aca="false">J165</f>
        <v>92659.9634666667</v>
      </c>
      <c r="L162" s="71" t="n">
        <f aca="false">K165</f>
        <v>92694.1822666666</v>
      </c>
      <c r="M162" s="71" t="n">
        <f aca="false">L165</f>
        <v>92642.9398666667</v>
      </c>
      <c r="N162" s="71" t="n">
        <f aca="false">M165</f>
        <v>94291.4577777778</v>
      </c>
      <c r="O162" s="71" t="n">
        <f aca="false">N165</f>
        <v>95457.5658796296</v>
      </c>
      <c r="P162" s="71" t="n">
        <f aca="false">O165</f>
        <v>94878.8449729938</v>
      </c>
      <c r="Q162" s="71" t="n">
        <f aca="false">P165</f>
        <v>94847.6682192764</v>
      </c>
      <c r="R162" s="71" t="n">
        <f aca="false">Q165</f>
        <v>101837.915484294</v>
      </c>
      <c r="S162" s="71" t="n">
        <f aca="false">R165</f>
        <v>101810.669889937</v>
      </c>
      <c r="T162" s="71" t="n">
        <f aca="false">S165</f>
        <v>222784.364958974</v>
      </c>
      <c r="U162" s="71" t="n">
        <f aca="false">T165</f>
        <v>103573.620394169</v>
      </c>
      <c r="V162" s="71" t="n">
        <f aca="false">U165</f>
        <v>103559.409189304</v>
      </c>
      <c r="W162" s="71" t="n">
        <f aca="false">V165</f>
        <v>103545.014351401</v>
      </c>
      <c r="X162" s="71" t="n">
        <f aca="false">W165</f>
        <v>103530.369181791</v>
      </c>
      <c r="Y162" s="71" t="n">
        <f aca="false">X165</f>
        <v>103530.723158026</v>
      </c>
      <c r="Z162" s="71" t="n">
        <f aca="false">Y165</f>
        <v>105805.958993546</v>
      </c>
      <c r="AA162" s="71" t="n">
        <f aca="false">Z165</f>
        <v>105777.637672164</v>
      </c>
      <c r="AB162" s="71" t="n">
        <f aca="false">AA165</f>
        <v>105749.549890318</v>
      </c>
    </row>
    <row r="163" customFormat="false" ht="15" hidden="false" customHeight="false" outlineLevel="0" collapsed="false">
      <c r="A163" s="29" t="s">
        <v>1221</v>
      </c>
      <c r="B163" s="60"/>
      <c r="C163" s="61" t="n">
        <f aca="false">SUM(E163:P163)</f>
        <v>1253553.08751634</v>
      </c>
      <c r="D163" s="61" t="n">
        <f aca="false">SUM(Q163:AB163)</f>
        <v>1367227.04921325</v>
      </c>
      <c r="E163" s="71" t="n">
        <f aca="false">E159+E153</f>
        <v>89474.3384666667</v>
      </c>
      <c r="F163" s="71" t="n">
        <f aca="false">F159+F153</f>
        <v>92228.5977333333</v>
      </c>
      <c r="G163" s="71" t="n">
        <f aca="false">G159+G153</f>
        <v>230155.894933333</v>
      </c>
      <c r="H163" s="71" t="n">
        <f aca="false">H159+H153</f>
        <v>91552.2874666667</v>
      </c>
      <c r="I163" s="71" t="n">
        <f aca="false">I159+I153</f>
        <v>92669.3464666667</v>
      </c>
      <c r="J163" s="71" t="n">
        <f aca="false">J159+J153</f>
        <v>92659.9634666667</v>
      </c>
      <c r="K163" s="71" t="n">
        <f aca="false">K159+K153</f>
        <v>92694.1822666667</v>
      </c>
      <c r="L163" s="71" t="n">
        <f aca="false">L159+L153</f>
        <v>92642.9398666667</v>
      </c>
      <c r="M163" s="71" t="n">
        <f aca="false">M159+M153</f>
        <v>94291.4577777778</v>
      </c>
      <c r="N163" s="71" t="n">
        <f aca="false">N159+N153</f>
        <v>95457.5658796296</v>
      </c>
      <c r="O163" s="71" t="n">
        <f aca="false">O159+O153</f>
        <v>94878.8449729938</v>
      </c>
      <c r="P163" s="71" t="n">
        <f aca="false">P159+P153</f>
        <v>94847.6682192764</v>
      </c>
      <c r="Q163" s="71" t="n">
        <f aca="false">Q159+Q153</f>
        <v>101837.915484294</v>
      </c>
      <c r="R163" s="71" t="n">
        <f aca="false">R159+R153</f>
        <v>101810.669889937</v>
      </c>
      <c r="S163" s="71" t="n">
        <f aca="false">S159+S153</f>
        <v>222784.364958974</v>
      </c>
      <c r="T163" s="71" t="n">
        <f aca="false">T159+T153</f>
        <v>103573.620394169</v>
      </c>
      <c r="U163" s="71" t="n">
        <f aca="false">U159+U153</f>
        <v>103559.409189304</v>
      </c>
      <c r="V163" s="71" t="n">
        <f aca="false">V159+V153</f>
        <v>103545.014351401</v>
      </c>
      <c r="W163" s="71" t="n">
        <f aca="false">W159+W153</f>
        <v>103530.369181791</v>
      </c>
      <c r="X163" s="71" t="n">
        <f aca="false">X159+X153</f>
        <v>103530.723158026</v>
      </c>
      <c r="Y163" s="71" t="n">
        <f aca="false">Y159+Y153</f>
        <v>105805.958993546</v>
      </c>
      <c r="Z163" s="71" t="n">
        <f aca="false">Z159+Z153</f>
        <v>105777.637672164</v>
      </c>
      <c r="AA163" s="71" t="n">
        <f aca="false">AA159+AA153</f>
        <v>105749.549890318</v>
      </c>
      <c r="AB163" s="71" t="n">
        <f aca="false">AB159+AB153</f>
        <v>105721.816049325</v>
      </c>
    </row>
    <row r="164" customFormat="false" ht="15" hidden="false" customHeight="false" outlineLevel="0" collapsed="false">
      <c r="A164" s="29" t="s">
        <v>1222</v>
      </c>
      <c r="B164" s="60"/>
      <c r="C164" s="61" t="n">
        <f aca="false">SUM(E164:P164)</f>
        <v>-1248185.76929707</v>
      </c>
      <c r="D164" s="61" t="n">
        <f aca="false">SUM(Q164:AB164)</f>
        <v>-1356352.9013832</v>
      </c>
      <c r="E164" s="71" t="n">
        <f aca="false">-E162</f>
        <v>-89480.35</v>
      </c>
      <c r="F164" s="71" t="n">
        <f aca="false">-F162</f>
        <v>-89474.3384666667</v>
      </c>
      <c r="G164" s="71" t="n">
        <f aca="false">-G162</f>
        <v>-92228.5977333333</v>
      </c>
      <c r="H164" s="71" t="n">
        <f aca="false">-H162</f>
        <v>-230155.894933333</v>
      </c>
      <c r="I164" s="71" t="n">
        <f aca="false">-I162</f>
        <v>-91552.2874666666</v>
      </c>
      <c r="J164" s="71" t="n">
        <f aca="false">-J162</f>
        <v>-92669.3464666666</v>
      </c>
      <c r="K164" s="71" t="n">
        <f aca="false">-K162</f>
        <v>-92659.9634666667</v>
      </c>
      <c r="L164" s="71" t="n">
        <f aca="false">-L162</f>
        <v>-92694.1822666666</v>
      </c>
      <c r="M164" s="71" t="n">
        <f aca="false">-M162</f>
        <v>-92642.9398666667</v>
      </c>
      <c r="N164" s="71" t="n">
        <f aca="false">-N162</f>
        <v>-94291.4577777778</v>
      </c>
      <c r="O164" s="71" t="n">
        <f aca="false">-O162</f>
        <v>-95457.5658796296</v>
      </c>
      <c r="P164" s="71" t="n">
        <f aca="false">-P162</f>
        <v>-94878.8449729938</v>
      </c>
      <c r="Q164" s="71" t="n">
        <f aca="false">-Q162</f>
        <v>-94847.6682192764</v>
      </c>
      <c r="R164" s="71" t="n">
        <f aca="false">-R162</f>
        <v>-101837.915484294</v>
      </c>
      <c r="S164" s="71" t="n">
        <f aca="false">-S162</f>
        <v>-101810.669889937</v>
      </c>
      <c r="T164" s="71" t="n">
        <f aca="false">-T162</f>
        <v>-222784.364958974</v>
      </c>
      <c r="U164" s="71" t="n">
        <f aca="false">-U162</f>
        <v>-103573.620394169</v>
      </c>
      <c r="V164" s="71" t="n">
        <f aca="false">-V162</f>
        <v>-103559.409189304</v>
      </c>
      <c r="W164" s="71" t="n">
        <f aca="false">-W162</f>
        <v>-103545.014351401</v>
      </c>
      <c r="X164" s="71" t="n">
        <f aca="false">-X162</f>
        <v>-103530.369181791</v>
      </c>
      <c r="Y164" s="71" t="n">
        <f aca="false">-Y162</f>
        <v>-103530.723158026</v>
      </c>
      <c r="Z164" s="71" t="n">
        <f aca="false">-Z162</f>
        <v>-105805.958993546</v>
      </c>
      <c r="AA164" s="71" t="n">
        <f aca="false">-AA162</f>
        <v>-105777.637672164</v>
      </c>
      <c r="AB164" s="71" t="n">
        <f aca="false">-AB162</f>
        <v>-105749.549890318</v>
      </c>
    </row>
    <row r="165" customFormat="false" ht="15" hidden="false" customHeight="false" outlineLevel="0" collapsed="false">
      <c r="A165" s="68" t="s">
        <v>1223</v>
      </c>
      <c r="B165" s="69"/>
      <c r="C165" s="70" t="n">
        <f aca="false">P165</f>
        <v>94847.6682192764</v>
      </c>
      <c r="D165" s="70" t="n">
        <f aca="false">AB165</f>
        <v>105721.816049325</v>
      </c>
      <c r="E165" s="70" t="n">
        <f aca="false">E162+E163+E164</f>
        <v>89474.3384666667</v>
      </c>
      <c r="F165" s="70" t="n">
        <f aca="false">F162+F163+F164</f>
        <v>92228.5977333333</v>
      </c>
      <c r="G165" s="70" t="n">
        <f aca="false">G162+G163+G164</f>
        <v>230155.894933333</v>
      </c>
      <c r="H165" s="70" t="n">
        <f aca="false">H162+H163+H164</f>
        <v>91552.2874666666</v>
      </c>
      <c r="I165" s="70" t="n">
        <f aca="false">I162+I163+I164</f>
        <v>92669.3464666666</v>
      </c>
      <c r="J165" s="70" t="n">
        <f aca="false">J162+J163+J164</f>
        <v>92659.9634666667</v>
      </c>
      <c r="K165" s="70" t="n">
        <f aca="false">K162+K163+K164</f>
        <v>92694.1822666666</v>
      </c>
      <c r="L165" s="70" t="n">
        <f aca="false">L162+L163+L164</f>
        <v>92642.9398666667</v>
      </c>
      <c r="M165" s="70" t="n">
        <f aca="false">M162+M163+M164</f>
        <v>94291.4577777778</v>
      </c>
      <c r="N165" s="70" t="n">
        <f aca="false">N162+N163+N164</f>
        <v>95457.5658796296</v>
      </c>
      <c r="O165" s="70" t="n">
        <f aca="false">O162+O163+O164</f>
        <v>94878.8449729938</v>
      </c>
      <c r="P165" s="70" t="n">
        <f aca="false">P162+P163+P164</f>
        <v>94847.6682192764</v>
      </c>
      <c r="Q165" s="70" t="n">
        <f aca="false">Q162+Q163+Q164</f>
        <v>101837.915484294</v>
      </c>
      <c r="R165" s="70" t="n">
        <f aca="false">R162+R163+R164</f>
        <v>101810.669889937</v>
      </c>
      <c r="S165" s="70" t="n">
        <f aca="false">S162+S163+S164</f>
        <v>222784.364958974</v>
      </c>
      <c r="T165" s="70" t="n">
        <f aca="false">T162+T163+T164</f>
        <v>103573.620394169</v>
      </c>
      <c r="U165" s="70" t="n">
        <f aca="false">U162+U163+U164</f>
        <v>103559.409189304</v>
      </c>
      <c r="V165" s="70" t="n">
        <f aca="false">V162+V163+V164</f>
        <v>103545.014351401</v>
      </c>
      <c r="W165" s="70" t="n">
        <f aca="false">W162+W163+W164</f>
        <v>103530.369181791</v>
      </c>
      <c r="X165" s="70" t="n">
        <f aca="false">X162+X163+X164</f>
        <v>103530.723158026</v>
      </c>
      <c r="Y165" s="70" t="n">
        <f aca="false">Y162+Y163+Y164</f>
        <v>105805.958993546</v>
      </c>
      <c r="Z165" s="70" t="n">
        <f aca="false">Z162+Z163+Z164</f>
        <v>105777.637672164</v>
      </c>
      <c r="AA165" s="70" t="n">
        <f aca="false">AA162+AA163+AA164</f>
        <v>105749.549890318</v>
      </c>
      <c r="AB165" s="70" t="n">
        <f aca="false">AB162+AB163+AB164</f>
        <v>105721.816049325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7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1224</v>
      </c>
    </row>
    <row r="3" customFormat="false" ht="15" hidden="false" customHeight="false" outlineLevel="0" collapsed="false">
      <c r="A3" s="51" t="s">
        <v>1225</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1226</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1227</v>
      </c>
      <c r="B9" s="60" t="s">
        <v>51</v>
      </c>
      <c r="C9" s="61" t="n">
        <f aca="false">SUM(E9:P9)</f>
        <v>6993056.00586503</v>
      </c>
      <c r="D9" s="61" t="n">
        <f aca="false">SUM(Q9:AB9)</f>
        <v>1040355.41820167</v>
      </c>
      <c r="E9" s="62" t="n">
        <f aca="false">Engagements!E606</f>
        <v>457500.86</v>
      </c>
      <c r="F9" s="62" t="n">
        <f aca="false">Engagements!F606</f>
        <v>496184.02</v>
      </c>
      <c r="G9" s="62" t="n">
        <f aca="false">Engagements!G606</f>
        <v>626975.9</v>
      </c>
      <c r="H9" s="62" t="n">
        <f aca="false">Engagements!H606</f>
        <v>540305.01</v>
      </c>
      <c r="I9" s="62" t="n">
        <f aca="false">Engagements!I606</f>
        <v>558878.41</v>
      </c>
      <c r="J9" s="62" t="n">
        <f aca="false">Engagements!J606</f>
        <v>701548.67</v>
      </c>
      <c r="K9" s="62" t="n">
        <f aca="false">Engagements!K606</f>
        <v>590211.73</v>
      </c>
      <c r="L9" s="62" t="n">
        <f aca="false">Engagements!L606</f>
        <v>483686.24</v>
      </c>
      <c r="M9" s="62" t="n">
        <f aca="false">Engagements!M606</f>
        <v>734222.963251627</v>
      </c>
      <c r="N9" s="62" t="n">
        <f aca="false">Engagements!N606</f>
        <v>670151.355442415</v>
      </c>
      <c r="O9" s="62" t="n">
        <f aca="false">Engagements!O606</f>
        <v>574750.863170169</v>
      </c>
      <c r="P9" s="62" t="n">
        <f aca="false">Engagements!P606</f>
        <v>558639.984000818</v>
      </c>
      <c r="Q9" s="62" t="n">
        <f aca="false">Engagements!Q606</f>
        <v>376896.961496144</v>
      </c>
      <c r="R9" s="62" t="n">
        <f aca="false">Engagements!R606</f>
        <v>356276.674572352</v>
      </c>
      <c r="S9" s="62" t="n">
        <f aca="false">Engagements!S606</f>
        <v>264248.087080989</v>
      </c>
      <c r="T9" s="62" t="n">
        <f aca="false">Engagements!T606</f>
        <v>42933.6950521818</v>
      </c>
      <c r="U9" s="62" t="n">
        <f aca="false">Engagements!U606</f>
        <v>0</v>
      </c>
      <c r="V9" s="62" t="n">
        <f aca="false">Engagements!V606</f>
        <v>0</v>
      </c>
      <c r="W9" s="62" t="n">
        <f aca="false">Engagements!W606</f>
        <v>0</v>
      </c>
      <c r="X9" s="62" t="n">
        <f aca="false">Engagements!X606</f>
        <v>0</v>
      </c>
      <c r="Y9" s="62" t="n">
        <f aca="false">Engagements!Y606</f>
        <v>0</v>
      </c>
      <c r="Z9" s="62" t="n">
        <f aca="false">Engagements!Z606</f>
        <v>0</v>
      </c>
      <c r="AA9" s="62" t="n">
        <f aca="false">Engagements!AA606</f>
        <v>0</v>
      </c>
      <c r="AB9" s="62" t="n">
        <f aca="false">Engagements!AB606</f>
        <v>0</v>
      </c>
    </row>
    <row r="10" customFormat="false" ht="15" hidden="false" customHeight="false" outlineLevel="0" collapsed="false">
      <c r="A10" s="29" t="s">
        <v>1228</v>
      </c>
      <c r="B10" s="60" t="s">
        <v>51</v>
      </c>
      <c r="C10" s="61" t="n">
        <f aca="false">SUM(E10:P10)</f>
        <v>64563.9093731645</v>
      </c>
      <c r="D10" s="61" t="n">
        <f aca="false">SUM(Q10:AB10)</f>
        <v>2321673.34396918</v>
      </c>
      <c r="E10" s="62" t="n">
        <f aca="false">Engagements!E607</f>
        <v>0</v>
      </c>
      <c r="F10" s="62" t="n">
        <f aca="false">Engagements!F607</f>
        <v>0</v>
      </c>
      <c r="G10" s="62" t="n">
        <f aca="false">Engagements!G607</f>
        <v>0</v>
      </c>
      <c r="H10" s="62" t="n">
        <f aca="false">Engagements!H607</f>
        <v>0</v>
      </c>
      <c r="I10" s="62" t="n">
        <f aca="false">Engagements!I607</f>
        <v>0</v>
      </c>
      <c r="J10" s="62" t="n">
        <f aca="false">Engagements!J607</f>
        <v>0</v>
      </c>
      <c r="K10" s="62" t="n">
        <f aca="false">Engagements!K607</f>
        <v>0</v>
      </c>
      <c r="L10" s="62" t="n">
        <f aca="false">Engagements!L607</f>
        <v>0</v>
      </c>
      <c r="M10" s="62" t="n">
        <f aca="false">Engagements!M607</f>
        <v>0</v>
      </c>
      <c r="N10" s="62" t="n">
        <f aca="false">Engagements!N607</f>
        <v>0</v>
      </c>
      <c r="O10" s="62" t="n">
        <f aca="false">Engagements!O607</f>
        <v>0</v>
      </c>
      <c r="P10" s="62" t="n">
        <f aca="false">Engagements!P607</f>
        <v>64563.9093731645</v>
      </c>
      <c r="Q10" s="62" t="n">
        <f aca="false">Engagements!Q607</f>
        <v>173834.963681605</v>
      </c>
      <c r="R10" s="62" t="n">
        <f aca="false">Engagements!R607</f>
        <v>212579.044888438</v>
      </c>
      <c r="S10" s="62" t="n">
        <f aca="false">Engagements!S607</f>
        <v>247174.474197277</v>
      </c>
      <c r="T10" s="62" t="n">
        <f aca="false">Engagements!T607</f>
        <v>328434.350647974</v>
      </c>
      <c r="U10" s="62" t="n">
        <f aca="false">Engagements!U607</f>
        <v>250320.234818185</v>
      </c>
      <c r="V10" s="62" t="n">
        <f aca="false">Engagements!V607</f>
        <v>283619.531238824</v>
      </c>
      <c r="W10" s="62" t="n">
        <f aca="false">Engagements!W607</f>
        <v>214875.82842502</v>
      </c>
      <c r="X10" s="62" t="n">
        <f aca="false">Engagements!X607</f>
        <v>136870.751817494</v>
      </c>
      <c r="Y10" s="62" t="n">
        <f aca="false">Engagements!Y607</f>
        <v>161372.306155194</v>
      </c>
      <c r="Z10" s="62" t="n">
        <f aca="false">Engagements!Z607</f>
        <v>111248.247028124</v>
      </c>
      <c r="AA10" s="62" t="n">
        <f aca="false">Engagements!AA607</f>
        <v>96687.4332847761</v>
      </c>
      <c r="AB10" s="62" t="n">
        <f aca="false">Engagements!AB607</f>
        <v>104656.177786269</v>
      </c>
    </row>
    <row r="11" customFormat="false" ht="15" hidden="false" customHeight="false" outlineLevel="0" collapsed="false">
      <c r="A11" s="29" t="s">
        <v>1229</v>
      </c>
      <c r="B11" s="60" t="s">
        <v>51</v>
      </c>
      <c r="C11" s="61" t="n">
        <f aca="false">SUM(E11:P11)</f>
        <v>196941.867847265</v>
      </c>
      <c r="D11" s="61" t="n">
        <f aca="false">SUM(Q11:AB11)</f>
        <v>4292827.22318094</v>
      </c>
      <c r="E11" s="62" t="n">
        <f aca="false">Engagements!E608</f>
        <v>0</v>
      </c>
      <c r="F11" s="62" t="n">
        <f aca="false">Engagements!F608</f>
        <v>0</v>
      </c>
      <c r="G11" s="62" t="n">
        <f aca="false">Engagements!G608</f>
        <v>0</v>
      </c>
      <c r="H11" s="62" t="n">
        <f aca="false">Engagements!H608</f>
        <v>0</v>
      </c>
      <c r="I11" s="62" t="n">
        <f aca="false">Engagements!I608</f>
        <v>0</v>
      </c>
      <c r="J11" s="62" t="n">
        <f aca="false">Engagements!J608</f>
        <v>0</v>
      </c>
      <c r="K11" s="62" t="n">
        <f aca="false">Engagements!K608</f>
        <v>0</v>
      </c>
      <c r="L11" s="62" t="n">
        <f aca="false">Engagements!L608</f>
        <v>0</v>
      </c>
      <c r="M11" s="62" t="n">
        <f aca="false">Engagements!M608</f>
        <v>0</v>
      </c>
      <c r="N11" s="62" t="n">
        <f aca="false">Engagements!N608</f>
        <v>0</v>
      </c>
      <c r="O11" s="62" t="n">
        <f aca="false">Engagements!O608</f>
        <v>98433.9316200042</v>
      </c>
      <c r="P11" s="62" t="n">
        <f aca="false">Engagements!P608</f>
        <v>98507.9362272608</v>
      </c>
      <c r="Q11" s="62" t="n">
        <f aca="false">Engagements!Q608</f>
        <v>106259.120318198</v>
      </c>
      <c r="R11" s="62" t="n">
        <f aca="false">Engagements!R608</f>
        <v>112749.263045669</v>
      </c>
      <c r="S11" s="62" t="n">
        <f aca="false">Engagements!S608</f>
        <v>163830.477856546</v>
      </c>
      <c r="T11" s="62" t="n">
        <f aca="false">Engagements!T608</f>
        <v>302573.812078192</v>
      </c>
      <c r="U11" s="62" t="n">
        <f aca="false">Engagements!U608</f>
        <v>256165.860439507</v>
      </c>
      <c r="V11" s="62" t="n">
        <f aca="false">Engagements!V608</f>
        <v>389769.023097364</v>
      </c>
      <c r="W11" s="62" t="n">
        <f aca="false">Engagements!W608</f>
        <v>424953.200089838</v>
      </c>
      <c r="X11" s="62" t="n">
        <f aca="false">Engagements!X608</f>
        <v>412101.287921709</v>
      </c>
      <c r="Y11" s="62" t="n">
        <f aca="false">Engagements!Y608</f>
        <v>512574.563933563</v>
      </c>
      <c r="Z11" s="62" t="n">
        <f aca="false">Engagements!Z608</f>
        <v>497178.209941865</v>
      </c>
      <c r="AA11" s="62" t="n">
        <f aca="false">Engagements!AA608</f>
        <v>535439.251754605</v>
      </c>
      <c r="AB11" s="62" t="n">
        <f aca="false">Engagements!AB608</f>
        <v>579233.152703884</v>
      </c>
    </row>
    <row r="12" customFormat="false" ht="15" hidden="false" customHeight="false" outlineLevel="0" collapsed="false">
      <c r="A12" s="29" t="s">
        <v>1068</v>
      </c>
      <c r="B12" s="60" t="s">
        <v>56</v>
      </c>
      <c r="C12" s="66" t="n">
        <f aca="false">SUM(E12:P12)</f>
        <v>1124.69641978259</v>
      </c>
      <c r="D12" s="66" t="n">
        <f aca="false">SUM(Q12:AB12)</f>
        <v>23421.0078034514</v>
      </c>
      <c r="E12" s="67" t="n">
        <f aca="false">Capacity!E165</f>
        <v>0</v>
      </c>
      <c r="F12" s="67" t="n">
        <f aca="false">Capacity!F165</f>
        <v>0</v>
      </c>
      <c r="G12" s="67" t="n">
        <f aca="false">Capacity!G165</f>
        <v>0</v>
      </c>
      <c r="H12" s="67" t="n">
        <f aca="false">Capacity!H165</f>
        <v>0</v>
      </c>
      <c r="I12" s="67" t="n">
        <f aca="false">Capacity!I165</f>
        <v>0</v>
      </c>
      <c r="J12" s="67" t="n">
        <f aca="false">Capacity!J165</f>
        <v>0</v>
      </c>
      <c r="K12" s="67" t="n">
        <f aca="false">Capacity!K165</f>
        <v>0</v>
      </c>
      <c r="L12" s="67" t="n">
        <f aca="false">Capacity!L165</f>
        <v>0</v>
      </c>
      <c r="M12" s="67" t="n">
        <f aca="false">Capacity!M165</f>
        <v>0</v>
      </c>
      <c r="N12" s="67" t="n">
        <f aca="false">Capacity!N165</f>
        <v>0</v>
      </c>
      <c r="O12" s="67" t="n">
        <f aca="false">Capacity!O165</f>
        <v>551.153218841797</v>
      </c>
      <c r="P12" s="67" t="n">
        <f aca="false">Capacity!P165</f>
        <v>573.543200940788</v>
      </c>
      <c r="Q12" s="67" t="n">
        <f aca="false">Capacity!Q165</f>
        <v>579.895444190761</v>
      </c>
      <c r="R12" s="67" t="n">
        <f aca="false">Capacity!R165</f>
        <v>613.575815719259</v>
      </c>
      <c r="S12" s="67" t="n">
        <f aca="false">Capacity!S165</f>
        <v>874.758814530253</v>
      </c>
      <c r="T12" s="67" t="n">
        <f aca="false">Capacity!T165</f>
        <v>1620.87194247532</v>
      </c>
      <c r="U12" s="67" t="n">
        <f aca="false">Capacity!U165</f>
        <v>1376.89235168136</v>
      </c>
      <c r="V12" s="67" t="n">
        <f aca="false">Capacity!V165</f>
        <v>2098.3739605905</v>
      </c>
      <c r="W12" s="67" t="n">
        <f aca="false">Capacity!W165</f>
        <v>2295.06699937052</v>
      </c>
      <c r="X12" s="67" t="n">
        <f aca="false">Capacity!X165</f>
        <v>2231.01461523638</v>
      </c>
      <c r="Y12" s="67" t="n">
        <f aca="false">Capacity!Y165</f>
        <v>2830.87483189991</v>
      </c>
      <c r="Z12" s="67" t="n">
        <f aca="false">Capacity!Z165</f>
        <v>2745.60375505198</v>
      </c>
      <c r="AA12" s="67" t="n">
        <f aca="false">Capacity!AA165</f>
        <v>2956.46744636934</v>
      </c>
      <c r="AB12" s="67" t="n">
        <f aca="false">Capacity!AB165</f>
        <v>3197.61182633579</v>
      </c>
    </row>
    <row r="13" customFormat="false" ht="15" hidden="false" customHeight="false" outlineLevel="0" collapsed="false">
      <c r="A13" s="68" t="s">
        <v>349</v>
      </c>
      <c r="B13" s="69"/>
      <c r="C13" s="70" t="n">
        <f aca="false">SUM(E13:P13)</f>
        <v>7254561.78308546</v>
      </c>
      <c r="D13" s="70" t="n">
        <f aca="false">SUM(Q13:AB13)</f>
        <v>7654855.98535179</v>
      </c>
      <c r="E13" s="70" t="n">
        <f aca="false">E9+E10+E11</f>
        <v>457500.86</v>
      </c>
      <c r="F13" s="70" t="n">
        <f aca="false">F9+F10+F11</f>
        <v>496184.02</v>
      </c>
      <c r="G13" s="70" t="n">
        <f aca="false">G9+G10+G11</f>
        <v>626975.9</v>
      </c>
      <c r="H13" s="70" t="n">
        <f aca="false">H9+H10+H11</f>
        <v>540305.01</v>
      </c>
      <c r="I13" s="70" t="n">
        <f aca="false">I9+I10+I11</f>
        <v>558878.41</v>
      </c>
      <c r="J13" s="70" t="n">
        <f aca="false">J9+J10+J11</f>
        <v>701548.67</v>
      </c>
      <c r="K13" s="70" t="n">
        <f aca="false">K9+K10+K11</f>
        <v>590211.73</v>
      </c>
      <c r="L13" s="70" t="n">
        <f aca="false">L9+L10+L11</f>
        <v>483686.24</v>
      </c>
      <c r="M13" s="70" t="n">
        <f aca="false">M9+M10+M11</f>
        <v>734222.963251627</v>
      </c>
      <c r="N13" s="70" t="n">
        <f aca="false">N9+N10+N11</f>
        <v>670151.355442415</v>
      </c>
      <c r="O13" s="70" t="n">
        <f aca="false">O9+O10+O11</f>
        <v>673184.794790173</v>
      </c>
      <c r="P13" s="70" t="n">
        <f aca="false">P9+P10+P11</f>
        <v>721711.829601243</v>
      </c>
      <c r="Q13" s="70" t="n">
        <f aca="false">Q9+Q10+Q11</f>
        <v>656991.045495948</v>
      </c>
      <c r="R13" s="70" t="n">
        <f aca="false">R9+R10+R11</f>
        <v>681604.982506458</v>
      </c>
      <c r="S13" s="70" t="n">
        <f aca="false">S9+S10+S11</f>
        <v>675253.039134812</v>
      </c>
      <c r="T13" s="70" t="n">
        <f aca="false">T9+T10+T11</f>
        <v>673941.857778348</v>
      </c>
      <c r="U13" s="70" t="n">
        <f aca="false">U9+U10+U11</f>
        <v>506486.095257692</v>
      </c>
      <c r="V13" s="70" t="n">
        <f aca="false">V9+V10+V11</f>
        <v>673388.554336188</v>
      </c>
      <c r="W13" s="70" t="n">
        <f aca="false">W9+W10+W11</f>
        <v>639829.028514858</v>
      </c>
      <c r="X13" s="70" t="n">
        <f aca="false">X9+X10+X11</f>
        <v>548972.039739203</v>
      </c>
      <c r="Y13" s="70" t="n">
        <f aca="false">Y9+Y10+Y11</f>
        <v>673946.870088757</v>
      </c>
      <c r="Z13" s="70" t="n">
        <f aca="false">Z9+Z10+Z11</f>
        <v>608426.456969989</v>
      </c>
      <c r="AA13" s="70" t="n">
        <f aca="false">AA9+AA10+AA11</f>
        <v>632126.685039381</v>
      </c>
      <c r="AB13" s="70" t="n">
        <f aca="false">AB9+AB10+AB11</f>
        <v>683889.330490152</v>
      </c>
    </row>
    <row r="14" customFormat="false" ht="15" hidden="false" customHeight="false" outlineLevel="0" collapsed="false">
      <c r="A14" s="29" t="s">
        <v>341</v>
      </c>
      <c r="B14" s="60"/>
      <c r="C14" s="63" t="n">
        <f aca="false">IF(C13=0,0,(C10+C11)/C13)</f>
        <v>0.0360470811386774</v>
      </c>
      <c r="D14" s="63" t="n">
        <f aca="false">IF(D13=0,0,(D10+D11)/D13)</f>
        <v>0.86409209785364</v>
      </c>
      <c r="E14" s="64" t="n">
        <f aca="false">IF(E13=0,0,(E10+E11)/E13)</f>
        <v>0</v>
      </c>
      <c r="F14" s="64" t="n">
        <f aca="false">IF(F13=0,0,(F10+F11)/F13)</f>
        <v>0</v>
      </c>
      <c r="G14" s="64" t="n">
        <f aca="false">IF(G13=0,0,(G10+G11)/G13)</f>
        <v>0</v>
      </c>
      <c r="H14" s="64" t="n">
        <f aca="false">IF(H13=0,0,(H10+H11)/H13)</f>
        <v>0</v>
      </c>
      <c r="I14" s="64" t="n">
        <f aca="false">IF(I13=0,0,(I10+I11)/I13)</f>
        <v>0</v>
      </c>
      <c r="J14" s="64" t="n">
        <f aca="false">IF(J13=0,0,(J10+J11)/J13)</f>
        <v>0</v>
      </c>
      <c r="K14" s="64" t="n">
        <f aca="false">IF(K13=0,0,(K10+K11)/K13)</f>
        <v>0</v>
      </c>
      <c r="L14" s="64" t="n">
        <f aca="false">IF(L13=0,0,(L10+L11)/L13)</f>
        <v>0</v>
      </c>
      <c r="M14" s="64" t="n">
        <f aca="false">IF(M13=0,0,(M10+M11)/M13)</f>
        <v>0</v>
      </c>
      <c r="N14" s="64" t="n">
        <f aca="false">IF(N13=0,0,(N10+N11)/N13)</f>
        <v>0</v>
      </c>
      <c r="O14" s="64" t="n">
        <f aca="false">IF(O13=0,0,(O10+O11)/O13)</f>
        <v>0.146221264030013</v>
      </c>
      <c r="P14" s="64" t="n">
        <f aca="false">IF(P13=0,0,(P10+P11)/P13)</f>
        <v>0.225951465546193</v>
      </c>
      <c r="Q14" s="64" t="n">
        <f aca="false">IF(Q13=0,0,(Q10+Q11)/Q13)</f>
        <v>0.426328617292442</v>
      </c>
      <c r="R14" s="64" t="n">
        <f aca="false">IF(R13=0,0,(R10+R11)/R13)</f>
        <v>0.477297432213275</v>
      </c>
      <c r="S14" s="64" t="n">
        <f aca="false">IF(S13=0,0,(S10+S11)/S13)</f>
        <v>0.608668052172613</v>
      </c>
      <c r="T14" s="64" t="n">
        <f aca="false">IF(T13=0,0,(T10+T11)/T13)</f>
        <v>0.936294660204498</v>
      </c>
      <c r="U14" s="64" t="n">
        <f aca="false">IF(U13=0,0,(U10+U11)/U13)</f>
        <v>1</v>
      </c>
      <c r="V14" s="64" t="n">
        <f aca="false">IF(V13=0,0,(V10+V11)/V13)</f>
        <v>1</v>
      </c>
      <c r="W14" s="64" t="n">
        <f aca="false">IF(W13=0,0,(W10+W11)/W13)</f>
        <v>1</v>
      </c>
      <c r="X14" s="64" t="n">
        <f aca="false">IF(X13=0,0,(X10+X11)/X13)</f>
        <v>1</v>
      </c>
      <c r="Y14" s="64" t="n">
        <f aca="false">IF(Y13=0,0,(Y10+Y11)/Y13)</f>
        <v>1</v>
      </c>
      <c r="Z14" s="64" t="n">
        <f aca="false">IF(Z13=0,0,(Z10+Z11)/Z13)</f>
        <v>1</v>
      </c>
      <c r="AA14" s="64" t="n">
        <f aca="false">IF(AA13=0,0,(AA10+AA11)/AA13)</f>
        <v>1</v>
      </c>
      <c r="AB14" s="64" t="n">
        <f aca="false">IF(AB13=0,0,(AB10+AB11)/AB13)</f>
        <v>1</v>
      </c>
    </row>
    <row r="15" customFormat="false" ht="15" hidden="false" customHeight="false" outlineLevel="0" collapsed="false">
      <c r="A15" s="23" t="s">
        <v>1230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row>
    <row r="16" customFormat="false" ht="15" hidden="false" customHeight="false" outlineLevel="0" collapsed="false">
      <c r="A16" s="29" t="s">
        <v>342</v>
      </c>
      <c r="B16" s="60" t="s">
        <v>51</v>
      </c>
      <c r="C16" s="61" t="n">
        <f aca="false">P16</f>
        <v>1011594.06187517</v>
      </c>
      <c r="D16" s="61" t="n">
        <f aca="false">AB16</f>
        <v>0</v>
      </c>
      <c r="E16" s="62" t="n">
        <f aca="false">Engagements!E610</f>
        <v>7523778.93326748</v>
      </c>
      <c r="F16" s="62" t="n">
        <f aca="false">Engagements!F610</f>
        <v>7030993.5062637</v>
      </c>
      <c r="G16" s="62" t="n">
        <f aca="false">Engagements!G610</f>
        <v>6413571.26546708</v>
      </c>
      <c r="H16" s="62" t="n">
        <f aca="false">Engagements!H610</f>
        <v>5878353.25220059</v>
      </c>
      <c r="I16" s="62" t="n">
        <f aca="false">Engagements!I610</f>
        <v>5326609.20005988</v>
      </c>
      <c r="J16" s="62" t="n">
        <f aca="false">Engagements!J610</f>
        <v>4631958.88608886</v>
      </c>
      <c r="K16" s="62" t="n">
        <f aca="false">Engagements!K610</f>
        <v>4030493.56143955</v>
      </c>
      <c r="L16" s="62" t="n">
        <f aca="false">Engagements!L610</f>
        <v>3549359.2277402</v>
      </c>
      <c r="M16" s="62" t="n">
        <f aca="false">Engagements!M610</f>
        <v>2815136.26448857</v>
      </c>
      <c r="N16" s="62" t="n">
        <f aca="false">Engagements!N610</f>
        <v>2144984.90904615</v>
      </c>
      <c r="O16" s="62" t="n">
        <f aca="false">Engagements!O610</f>
        <v>1570234.04587599</v>
      </c>
      <c r="P16" s="62" t="n">
        <f aca="false">Engagements!P610</f>
        <v>1011594.06187517</v>
      </c>
      <c r="Q16" s="62" t="n">
        <f aca="false">Engagements!Q610</f>
        <v>663458.456705522</v>
      </c>
      <c r="R16" s="62" t="n">
        <f aca="false">Engagements!R610</f>
        <v>307181.78213317</v>
      </c>
      <c r="S16" s="62" t="n">
        <f aca="false">Engagements!S610</f>
        <v>42933.6950521818</v>
      </c>
      <c r="T16" s="62" t="n">
        <f aca="false">Engagements!T610</f>
        <v>0</v>
      </c>
      <c r="U16" s="62" t="n">
        <f aca="false">Engagements!U610</f>
        <v>0</v>
      </c>
      <c r="V16" s="62" t="n">
        <f aca="false">Engagements!V610</f>
        <v>0</v>
      </c>
      <c r="W16" s="62" t="n">
        <f aca="false">Engagements!W610</f>
        <v>0</v>
      </c>
      <c r="X16" s="62" t="n">
        <f aca="false">Engagements!X610</f>
        <v>0</v>
      </c>
      <c r="Y16" s="62" t="n">
        <f aca="false">Engagements!Y610</f>
        <v>0</v>
      </c>
      <c r="Z16" s="62" t="n">
        <f aca="false">Engagements!Z610</f>
        <v>0</v>
      </c>
      <c r="AA16" s="62" t="n">
        <f aca="false">Engagements!AA610</f>
        <v>0</v>
      </c>
      <c r="AB16" s="62" t="n">
        <f aca="false">Engagements!AB610</f>
        <v>0</v>
      </c>
    </row>
    <row r="17" customFormat="false" ht="15" hidden="false" customHeight="false" outlineLevel="0" collapsed="false">
      <c r="A17" s="29" t="s">
        <v>945</v>
      </c>
      <c r="B17" s="60" t="s">
        <v>51</v>
      </c>
      <c r="C17" s="61" t="n">
        <f aca="false">P17</f>
        <v>2263916.76062684</v>
      </c>
      <c r="D17" s="61" t="n">
        <f aca="false">AB17</f>
        <v>0</v>
      </c>
      <c r="E17" s="62" t="n">
        <f aca="false">Engagements!E611</f>
        <v>2328480.67</v>
      </c>
      <c r="F17" s="62" t="n">
        <f aca="false">Engagements!F611</f>
        <v>2328480.67</v>
      </c>
      <c r="G17" s="62" t="n">
        <f aca="false">Engagements!G611</f>
        <v>2328480.67</v>
      </c>
      <c r="H17" s="62" t="n">
        <f aca="false">Engagements!H611</f>
        <v>2328480.67</v>
      </c>
      <c r="I17" s="62" t="n">
        <f aca="false">Engagements!I611</f>
        <v>2328480.67</v>
      </c>
      <c r="J17" s="62" t="n">
        <f aca="false">Engagements!J611</f>
        <v>2328480.67</v>
      </c>
      <c r="K17" s="62" t="n">
        <f aca="false">Engagements!K611</f>
        <v>2328480.67</v>
      </c>
      <c r="L17" s="62" t="n">
        <f aca="false">Engagements!L611</f>
        <v>2328480.67</v>
      </c>
      <c r="M17" s="62" t="n">
        <f aca="false">Engagements!M611</f>
        <v>2328480.67</v>
      </c>
      <c r="N17" s="62" t="n">
        <f aca="false">Engagements!N611</f>
        <v>2328480.67</v>
      </c>
      <c r="O17" s="62" t="n">
        <f aca="false">Engagements!O611</f>
        <v>2328480.67</v>
      </c>
      <c r="P17" s="62" t="n">
        <f aca="false">Engagements!P611</f>
        <v>2263916.76062684</v>
      </c>
      <c r="Q17" s="62" t="n">
        <f aca="false">Engagements!Q611</f>
        <v>2147838.38028758</v>
      </c>
      <c r="R17" s="62" t="n">
        <f aca="false">Engagements!R611</f>
        <v>1935259.33539914</v>
      </c>
      <c r="S17" s="62" t="n">
        <f aca="false">Engagements!S611</f>
        <v>1688084.86120186</v>
      </c>
      <c r="T17" s="62" t="n">
        <f aca="false">Engagements!T611</f>
        <v>1359650.51055389</v>
      </c>
      <c r="U17" s="62" t="n">
        <f aca="false">Engagements!U611</f>
        <v>1109330.2757357</v>
      </c>
      <c r="V17" s="62" t="n">
        <f aca="false">Engagements!V611</f>
        <v>825710.744496877</v>
      </c>
      <c r="W17" s="62" t="n">
        <f aca="false">Engagements!W611</f>
        <v>610834.916071857</v>
      </c>
      <c r="X17" s="62" t="n">
        <f aca="false">Engagements!X611</f>
        <v>473964.164254363</v>
      </c>
      <c r="Y17" s="62" t="n">
        <f aca="false">Engagements!Y611</f>
        <v>312591.858099169</v>
      </c>
      <c r="Z17" s="62" t="n">
        <f aca="false">Engagements!Z611</f>
        <v>201343.611071045</v>
      </c>
      <c r="AA17" s="62" t="n">
        <f aca="false">Engagements!AA611</f>
        <v>104656.177786269</v>
      </c>
      <c r="AB17" s="62" t="n">
        <f aca="false">Engagements!AB611</f>
        <v>0</v>
      </c>
    </row>
    <row r="18" customFormat="false" ht="15" hidden="false" customHeight="false" outlineLevel="0" collapsed="false">
      <c r="A18" s="29" t="s">
        <v>1231</v>
      </c>
      <c r="B18" s="60"/>
      <c r="C18" s="66" t="n">
        <f aca="false">P18</f>
        <v>1.67330971952093</v>
      </c>
      <c r="D18" s="66" t="n">
        <f aca="false">AB18</f>
        <v>0</v>
      </c>
      <c r="E18" s="67" t="n">
        <f aca="false">IF(PL!$C$12=0,0,E16/(PL!$C$12/12))</f>
        <v>12.4453205994767</v>
      </c>
      <c r="F18" s="67" t="n">
        <f aca="false">IF(PL!$C$12=0,0,F16/(PL!$C$12/12))</f>
        <v>11.6301886451479</v>
      </c>
      <c r="G18" s="67" t="n">
        <f aca="false">IF(PL!$C$12=0,0,G16/(PL!$C$12/12))</f>
        <v>10.6088909967036</v>
      </c>
      <c r="H18" s="67" t="n">
        <f aca="false">IF(PL!$C$12=0,0,H16/(PL!$C$12/12))</f>
        <v>9.72356995992188</v>
      </c>
      <c r="I18" s="67" t="n">
        <f aca="false">IF(PL!$C$12=0,0,I16/(PL!$C$12/12))</f>
        <v>8.81091267976393</v>
      </c>
      <c r="J18" s="67" t="n">
        <f aca="false">IF(PL!$C$12=0,0,J16/(PL!$C$12/12))</f>
        <v>7.66186963389895</v>
      </c>
      <c r="K18" s="67" t="n">
        <f aca="false">IF(PL!$C$12=0,0,K16/(PL!$C$12/12))</f>
        <v>6.66696682493535</v>
      </c>
      <c r="L18" s="67" t="n">
        <f aca="false">IF(PL!$C$12=0,0,L16/(PL!$C$12/12))</f>
        <v>5.87110731239335</v>
      </c>
      <c r="M18" s="67" t="n">
        <f aca="false">IF(PL!$C$12=0,0,M16/(PL!$C$12/12))</f>
        <v>4.65660589625512</v>
      </c>
      <c r="N18" s="67" t="n">
        <f aca="false">IF(PL!$C$12=0,0,N16/(PL!$C$12/12))</f>
        <v>3.54808735223237</v>
      </c>
      <c r="O18" s="67" t="n">
        <f aca="false">IF(PL!$C$12=0,0,O16/(PL!$C$12/12))</f>
        <v>2.59737377858511</v>
      </c>
      <c r="P18" s="67" t="n">
        <f aca="false">IF(PL!$C$12=0,0,P16/(PL!$C$12/12))</f>
        <v>1.67330971952093</v>
      </c>
      <c r="Q18" s="67" t="n">
        <f aca="false">IF(PL!$C$12=0,0,Q16/(PL!$C$12/12))</f>
        <v>1.09744760862456</v>
      </c>
      <c r="R18" s="67" t="n">
        <f aca="false">IF(PL!$C$12=0,0,R16/(PL!$C$12/12))</f>
        <v>0.508119097447436</v>
      </c>
      <c r="S18" s="67" t="n">
        <f aca="false">IF(PL!$C$12=0,0,S16/(PL!$C$12/12))</f>
        <v>0.0710179823442153</v>
      </c>
      <c r="T18" s="67" t="n">
        <f aca="false">IF(PL!$C$12=0,0,T16/(PL!$C$12/12))</f>
        <v>0</v>
      </c>
      <c r="U18" s="67" t="n">
        <f aca="false">IF(PL!$C$12=0,0,U16/(PL!$C$12/12))</f>
        <v>0</v>
      </c>
      <c r="V18" s="67" t="n">
        <f aca="false">IF(PL!$C$12=0,0,V16/(PL!$C$12/12))</f>
        <v>0</v>
      </c>
      <c r="W18" s="67" t="n">
        <f aca="false">IF(PL!$C$12=0,0,W16/(PL!$C$12/12))</f>
        <v>0</v>
      </c>
      <c r="X18" s="67" t="n">
        <f aca="false">IF(PL!$C$12=0,0,X16/(PL!$C$12/12))</f>
        <v>0</v>
      </c>
      <c r="Y18" s="67" t="n">
        <f aca="false">IF(PL!$C$12=0,0,Y16/(PL!$C$12/12))</f>
        <v>0</v>
      </c>
      <c r="Z18" s="67" t="n">
        <f aca="false">IF(PL!$C$12=0,0,Z16/(PL!$C$12/12))</f>
        <v>0</v>
      </c>
      <c r="AA18" s="67" t="n">
        <f aca="false">IF(PL!$C$12=0,0,AA16/(PL!$C$12/12))</f>
        <v>0</v>
      </c>
      <c r="AB18" s="67" t="n">
        <f aca="false">IF(PL!$C$12=0,0,AB16/(PL!$C$12/12))</f>
        <v>0</v>
      </c>
    </row>
    <row r="20" customFormat="false" ht="15" hidden="false" customHeight="false" outlineLevel="0" collapsed="false">
      <c r="A20" s="21" t="s">
        <v>1232</v>
      </c>
    </row>
    <row r="21" customFormat="false" ht="36" hidden="false" customHeight="true" outlineLevel="0" collapsed="false">
      <c r="A21" s="27" t="s">
        <v>731</v>
      </c>
      <c r="B21" s="28" t="s">
        <v>732</v>
      </c>
      <c r="C21" s="28" t="s">
        <v>1233</v>
      </c>
      <c r="D21" s="28" t="s">
        <v>508</v>
      </c>
      <c r="E21" s="28" t="s">
        <v>1234</v>
      </c>
      <c r="F21" s="28" t="s">
        <v>1235</v>
      </c>
      <c r="G21" s="28" t="s">
        <v>1236</v>
      </c>
      <c r="H21" s="28" t="s">
        <v>1237</v>
      </c>
      <c r="I21" s="28" t="s">
        <v>1238</v>
      </c>
      <c r="J21" s="28" t="s">
        <v>1239</v>
      </c>
      <c r="K21" s="28" t="s">
        <v>1240</v>
      </c>
    </row>
    <row r="22" customFormat="false" ht="15" hidden="false" customHeight="false" outlineLevel="0" collapsed="false">
      <c r="A22" s="118" t="str">
        <f aca="false">Engagement_Register!$A$30</f>
        <v>P-01</v>
      </c>
      <c r="B22" s="118" t="str">
        <f aca="false">Engagement_Register!$B$30</f>
        <v>EBE</v>
      </c>
      <c r="C22" s="118" t="str">
        <f aca="false">Engagement_Register!$D$30</f>
        <v>S/4HANA rollout wave 2 and hypercare</v>
      </c>
      <c r="D22" s="118" t="str">
        <f aca="false">Engagement_Register!$C$30</f>
        <v>DIG</v>
      </c>
      <c r="E22" s="62" t="n">
        <f aca="false">Engagement_Register!$J$30</f>
        <v>1277000</v>
      </c>
      <c r="F22" s="65" t="n">
        <f aca="false">Engagement_Register!$P$30</f>
        <v>0.65</v>
      </c>
      <c r="G22" s="65" t="n">
        <f aca="false">Engagement_Register!$Q$30</f>
        <v>0.35</v>
      </c>
      <c r="H22" s="65" t="n">
        <f aca="false">Engagement_Register!$R$30</f>
        <v>0.85</v>
      </c>
      <c r="I22" s="65" t="n">
        <f aca="false">Engagement_Register!$S$30</f>
        <v>0.65</v>
      </c>
      <c r="J22" s="62" t="n">
        <f aca="false">E22*I22</f>
        <v>830050</v>
      </c>
      <c r="K22" s="97" t="n">
        <f aca="false">EOMONTH(Assumptions!$C$8,Engagement_Register!$AG$30-1)</f>
        <v>46507</v>
      </c>
    </row>
    <row r="23" customFormat="false" ht="15" hidden="false" customHeight="false" outlineLevel="0" collapsed="false">
      <c r="A23" s="118" t="str">
        <f aca="false">Engagement_Register!$A$31</f>
        <v>P-02</v>
      </c>
      <c r="B23" s="118" t="str">
        <f aca="false">Engagement_Register!$B$31</f>
        <v>NOR</v>
      </c>
      <c r="C23" s="118" t="str">
        <f aca="false">Engagement_Register!$D$31</f>
        <v>Footprint programme phase 3</v>
      </c>
      <c r="D23" s="118" t="str">
        <f aca="false">Engagement_Register!$C$31</f>
        <v>OPS</v>
      </c>
      <c r="E23" s="62" t="n">
        <f aca="false">Engagement_Register!$J$31</f>
        <v>640000</v>
      </c>
      <c r="F23" s="65" t="n">
        <f aca="false">Engagement_Register!$P$31</f>
        <v>0.5</v>
      </c>
      <c r="G23" s="65" t="n">
        <f aca="false">Engagement_Register!$Q$31</f>
        <v>0.2</v>
      </c>
      <c r="H23" s="65" t="n">
        <f aca="false">Engagement_Register!$R$31</f>
        <v>0.65</v>
      </c>
      <c r="I23" s="65" t="n">
        <f aca="false">Engagement_Register!$S$31</f>
        <v>0.5</v>
      </c>
      <c r="J23" s="62" t="n">
        <f aca="false">E23*I23</f>
        <v>320000</v>
      </c>
      <c r="K23" s="97" t="n">
        <f aca="false">EOMONTH(Assumptions!$C$8,Engagement_Register!$AG$31-1)</f>
        <v>46418</v>
      </c>
    </row>
    <row r="24" customFormat="false" ht="15" hidden="false" customHeight="false" outlineLevel="0" collapsed="false">
      <c r="A24" s="118" t="str">
        <f aca="false">Engagement_Register!$A$32</f>
        <v>P-03</v>
      </c>
      <c r="B24" s="118" t="str">
        <f aca="false">Engagement_Register!$B$32</f>
        <v>WIT</v>
      </c>
      <c r="C24" s="118" t="str">
        <f aca="false">Engagement_Register!$D$32</f>
        <v>Add-on acquisition: due diligence support and 100-day plan</v>
      </c>
      <c r="D24" s="118" t="str">
        <f aca="false">Engagement_Register!$C$32</f>
        <v>FIN</v>
      </c>
      <c r="E24" s="62" t="n">
        <f aca="false">Engagement_Register!$J$32</f>
        <v>175000</v>
      </c>
      <c r="F24" s="65" t="n">
        <f aca="false">Engagement_Register!$P$32</f>
        <v>0.6</v>
      </c>
      <c r="G24" s="65" t="n">
        <f aca="false">Engagement_Register!$Q$32</f>
        <v>0.4</v>
      </c>
      <c r="H24" s="65" t="n">
        <f aca="false">Engagement_Register!$R$32</f>
        <v>0.75</v>
      </c>
      <c r="I24" s="65" t="n">
        <f aca="false">Engagement_Register!$S$32</f>
        <v>0.6</v>
      </c>
      <c r="J24" s="62" t="n">
        <f aca="false">E24*I24</f>
        <v>105000</v>
      </c>
      <c r="K24" s="97" t="n">
        <f aca="false">EOMONTH(Assumptions!$C$8,Engagement_Register!$AG$32-1)</f>
        <v>46387</v>
      </c>
    </row>
    <row r="25" customFormat="false" ht="15" hidden="false" customHeight="false" outlineLevel="0" collapsed="false">
      <c r="A25" s="118" t="str">
        <f aca="false">Engagement_Register!$A$33</f>
        <v>P-04</v>
      </c>
      <c r="B25" s="118" t="str">
        <f aca="false">Engagement_Register!$B$33</f>
        <v>STE</v>
      </c>
      <c r="C25" s="118" t="str">
        <f aca="false">Engagement_Register!$D$33</f>
        <v>Procurement excellence rollout, three sites</v>
      </c>
      <c r="D25" s="118" t="str">
        <f aca="false">Engagement_Register!$C$33</f>
        <v>OPS</v>
      </c>
      <c r="E25" s="62" t="n">
        <f aca="false">Engagement_Register!$J$33</f>
        <v>435000</v>
      </c>
      <c r="F25" s="65" t="n">
        <f aca="false">Engagement_Register!$P$33</f>
        <v>0.55</v>
      </c>
      <c r="G25" s="65" t="n">
        <f aca="false">Engagement_Register!$Q$33</f>
        <v>0.35</v>
      </c>
      <c r="H25" s="65" t="n">
        <f aca="false">Engagement_Register!$R$33</f>
        <v>0.7</v>
      </c>
      <c r="I25" s="65" t="n">
        <f aca="false">Engagement_Register!$S$33</f>
        <v>0.55</v>
      </c>
      <c r="J25" s="62" t="n">
        <f aca="false">E25*I25</f>
        <v>239250</v>
      </c>
      <c r="K25" s="97" t="n">
        <f aca="false">EOMONTH(Assumptions!$C$8,Engagement_Register!$AG$33-1)</f>
        <v>46418</v>
      </c>
    </row>
    <row r="26" customFormat="false" ht="15" hidden="false" customHeight="false" outlineLevel="0" collapsed="false">
      <c r="A26" s="118" t="str">
        <f aca="false">Engagement_Register!$A$34</f>
        <v>P-05</v>
      </c>
      <c r="B26" s="118" t="str">
        <f aca="false">Engagement_Register!$B$34</f>
        <v>TEG</v>
      </c>
      <c r="C26" s="118" t="str">
        <f aca="false">Engagement_Register!$D$34</f>
        <v>S/4HANA selection</v>
      </c>
      <c r="D26" s="118" t="str">
        <f aca="false">Engagement_Register!$C$34</f>
        <v>DIG</v>
      </c>
      <c r="E26" s="62" t="n">
        <f aca="false">Engagement_Register!$J$34</f>
        <v>150000</v>
      </c>
      <c r="F26" s="65" t="n">
        <f aca="false">Engagement_Register!$P$34</f>
        <v>0.4</v>
      </c>
      <c r="G26" s="65" t="n">
        <f aca="false">Engagement_Register!$Q$34</f>
        <v>0.2</v>
      </c>
      <c r="H26" s="65" t="n">
        <f aca="false">Engagement_Register!$R$34</f>
        <v>0.55</v>
      </c>
      <c r="I26" s="65" t="n">
        <f aca="false">Engagement_Register!$S$34</f>
        <v>0.4</v>
      </c>
      <c r="J26" s="62" t="n">
        <f aca="false">E26*I26</f>
        <v>60000</v>
      </c>
      <c r="K26" s="97" t="n">
        <f aca="false">EOMONTH(Assumptions!$C$8,Engagement_Register!$AG$34-1)</f>
        <v>46446</v>
      </c>
    </row>
    <row r="27" customFormat="false" ht="15" hidden="false" customHeight="false" outlineLevel="0" collapsed="false">
      <c r="A27" s="118" t="str">
        <f aca="false">Engagement_Register!$A$35</f>
        <v>P-06</v>
      </c>
      <c r="B27" s="118" t="str">
        <f aca="false">Engagement_Register!$B$35</f>
        <v>MER</v>
      </c>
      <c r="C27" s="118" t="str">
        <f aca="false">Engagement_Register!$D$35</f>
        <v>Cost reduction programme</v>
      </c>
      <c r="D27" s="118" t="str">
        <f aca="false">Engagement_Register!$C$35</f>
        <v>FIN</v>
      </c>
      <c r="E27" s="62" t="n">
        <f aca="false">Engagement_Register!$J$35</f>
        <v>270000</v>
      </c>
      <c r="F27" s="65" t="n">
        <f aca="false">Engagement_Register!$P$35</f>
        <v>0.35</v>
      </c>
      <c r="G27" s="65" t="n">
        <f aca="false">Engagement_Register!$Q$35</f>
        <v>0.2</v>
      </c>
      <c r="H27" s="65" t="n">
        <f aca="false">Engagement_Register!$R$35</f>
        <v>0.5</v>
      </c>
      <c r="I27" s="65" t="n">
        <f aca="false">Engagement_Register!$S$35</f>
        <v>0.35</v>
      </c>
      <c r="J27" s="62" t="n">
        <f aca="false">E27*I27</f>
        <v>94500</v>
      </c>
      <c r="K27" s="97" t="n">
        <f aca="false">EOMONTH(Assumptions!$C$8,Engagement_Register!$AG$35-1)</f>
        <v>46418</v>
      </c>
    </row>
    <row r="28" customFormat="false" ht="15" hidden="false" customHeight="false" outlineLevel="0" collapsed="false">
      <c r="A28" s="118" t="str">
        <f aca="false">Engagement_Register!$A$36</f>
        <v>P-07</v>
      </c>
      <c r="B28" s="118" t="str">
        <f aca="false">Engagement_Register!$B$36</f>
        <v>SOR</v>
      </c>
      <c r="C28" s="118" t="str">
        <f aca="false">Engagement_Register!$D$36</f>
        <v>Carve-out execution and exit from transitional services</v>
      </c>
      <c r="D28" s="118" t="str">
        <f aca="false">Engagement_Register!$C$36</f>
        <v>FIN</v>
      </c>
      <c r="E28" s="62" t="n">
        <f aca="false">Engagement_Register!$J$36</f>
        <v>330000</v>
      </c>
      <c r="F28" s="65" t="n">
        <f aca="false">Engagement_Register!$P$36</f>
        <v>0.6</v>
      </c>
      <c r="G28" s="65" t="n">
        <f aca="false">Engagement_Register!$Q$36</f>
        <v>0.4</v>
      </c>
      <c r="H28" s="65" t="n">
        <f aca="false">Engagement_Register!$R$36</f>
        <v>0.75</v>
      </c>
      <c r="I28" s="65" t="n">
        <f aca="false">Engagement_Register!$S$36</f>
        <v>0.6</v>
      </c>
      <c r="J28" s="62" t="n">
        <f aca="false">E28*I28</f>
        <v>198000</v>
      </c>
      <c r="K28" s="97" t="n">
        <f aca="false">EOMONTH(Assumptions!$C$8,Engagement_Register!$AG$36-1)</f>
        <v>46387</v>
      </c>
    </row>
    <row r="29" customFormat="false" ht="15" hidden="false" customHeight="false" outlineLevel="0" collapsed="false">
      <c r="A29" s="118" t="str">
        <f aca="false">Engagement_Register!$A$37</f>
        <v>P-08</v>
      </c>
      <c r="B29" s="118" t="str">
        <f aca="false">Engagement_Register!$B$37</f>
        <v>ULM</v>
      </c>
      <c r="C29" s="118" t="str">
        <f aca="false">Engagement_Register!$D$37</f>
        <v>S&amp;OP extension: network and capacity planning</v>
      </c>
      <c r="D29" s="118" t="str">
        <f aca="false">Engagement_Register!$C$37</f>
        <v>OPS</v>
      </c>
      <c r="E29" s="62" t="n">
        <f aca="false">Engagement_Register!$J$37</f>
        <v>326000</v>
      </c>
      <c r="F29" s="65" t="n">
        <f aca="false">Engagement_Register!$P$37</f>
        <v>0.7</v>
      </c>
      <c r="G29" s="65" t="n">
        <f aca="false">Engagement_Register!$Q$37</f>
        <v>0.45</v>
      </c>
      <c r="H29" s="65" t="n">
        <f aca="false">Engagement_Register!$R$37</f>
        <v>0.8</v>
      </c>
      <c r="I29" s="65" t="n">
        <f aca="false">Engagement_Register!$S$37</f>
        <v>0.7</v>
      </c>
      <c r="J29" s="62" t="n">
        <f aca="false">E29*I29</f>
        <v>228200</v>
      </c>
      <c r="K29" s="97" t="n">
        <f aca="false">EOMONTH(Assumptions!$C$8,Engagement_Register!$AG$37-1)</f>
        <v>46418</v>
      </c>
    </row>
    <row r="30" customFormat="false" ht="15" hidden="false" customHeight="false" outlineLevel="0" collapsed="false">
      <c r="A30" s="118" t="str">
        <f aca="false">Engagement_Register!$A$38</f>
        <v>P-09</v>
      </c>
      <c r="B30" s="118" t="str">
        <f aca="false">Engagement_Register!$B$38</f>
        <v>VAR</v>
      </c>
      <c r="C30" s="118" t="str">
        <f aca="false">Engagement_Register!$D$38</f>
        <v>Procurement and cost programme</v>
      </c>
      <c r="D30" s="118" t="str">
        <f aca="false">Engagement_Register!$C$38</f>
        <v>FIN</v>
      </c>
      <c r="E30" s="62" t="n">
        <f aca="false">Engagement_Register!$J$38</f>
        <v>260000</v>
      </c>
      <c r="F30" s="65" t="n">
        <f aca="false">Engagement_Register!$P$38</f>
        <v>0.45</v>
      </c>
      <c r="G30" s="65" t="n">
        <f aca="false">Engagement_Register!$Q$38</f>
        <v>0.25</v>
      </c>
      <c r="H30" s="65" t="n">
        <f aca="false">Engagement_Register!$R$38</f>
        <v>0.6</v>
      </c>
      <c r="I30" s="65" t="n">
        <f aca="false">Engagement_Register!$S$38</f>
        <v>0.45</v>
      </c>
      <c r="J30" s="62" t="n">
        <f aca="false">E30*I30</f>
        <v>117000</v>
      </c>
      <c r="K30" s="97" t="n">
        <f aca="false">EOMONTH(Assumptions!$C$8,Engagement_Register!$AG$38-1)</f>
        <v>46446</v>
      </c>
    </row>
    <row r="31" customFormat="false" ht="15" hidden="false" customHeight="false" outlineLevel="0" collapsed="false">
      <c r="A31" s="118" t="str">
        <f aca="false">Engagement_Register!$A$39</f>
        <v>P-10</v>
      </c>
      <c r="B31" s="118" t="str">
        <f aca="false">Engagement_Register!$B$39</f>
        <v>ZOR</v>
      </c>
      <c r="C31" s="118" t="str">
        <f aca="false">Engagement_Register!$D$39</f>
        <v>Network rollout: two new warehouses</v>
      </c>
      <c r="D31" s="118" t="str">
        <f aca="false">Engagement_Register!$C$39</f>
        <v>OPS</v>
      </c>
      <c r="E31" s="62" t="n">
        <f aca="false">Engagement_Register!$J$39</f>
        <v>380000</v>
      </c>
      <c r="F31" s="65" t="n">
        <f aca="false">Engagement_Register!$P$39</f>
        <v>0.4</v>
      </c>
      <c r="G31" s="65" t="n">
        <f aca="false">Engagement_Register!$Q$39</f>
        <v>0.2</v>
      </c>
      <c r="H31" s="65" t="n">
        <f aca="false">Engagement_Register!$R$39</f>
        <v>0.55</v>
      </c>
      <c r="I31" s="65" t="n">
        <f aca="false">Engagement_Register!$S$39</f>
        <v>0.4</v>
      </c>
      <c r="J31" s="62" t="n">
        <f aca="false">E31*I31</f>
        <v>152000</v>
      </c>
      <c r="K31" s="97" t="n">
        <f aca="false">EOMONTH(Assumptions!$C$8,Engagement_Register!$AG$39-1)</f>
        <v>46477</v>
      </c>
    </row>
    <row r="32" customFormat="false" ht="15" hidden="false" customHeight="false" outlineLevel="0" collapsed="false">
      <c r="A32" s="119" t="s">
        <v>1241</v>
      </c>
      <c r="B32" s="119" t="s">
        <v>1242</v>
      </c>
      <c r="C32" s="119" t="s">
        <v>1243</v>
      </c>
      <c r="D32" s="119" t="s">
        <v>1244</v>
      </c>
      <c r="E32" s="62" t="n">
        <f aca="false">IF(Assumptions!$F$168=0,0,Engagements!$D$608/Assumptions!$F$168)</f>
        <v>5366034.02897617</v>
      </c>
      <c r="F32" s="65" t="n">
        <f aca="false">Assumptions!C168</f>
        <v>0.8</v>
      </c>
      <c r="G32" s="65" t="n">
        <f aca="false">Assumptions!D168</f>
        <v>0.6</v>
      </c>
      <c r="H32" s="65" t="n">
        <f aca="false">Assumptions!E168</f>
        <v>1</v>
      </c>
      <c r="I32" s="65" t="n">
        <f aca="false">Assumptions!$F$168</f>
        <v>0.8</v>
      </c>
      <c r="J32" s="62" t="n">
        <f aca="false">E32*I32</f>
        <v>4292827.22318094</v>
      </c>
      <c r="K32" s="97" t="n">
        <f aca="false">Assumptions!$C$152</f>
        <v>46356</v>
      </c>
    </row>
    <row r="33" customFormat="false" ht="15" hidden="false" customHeight="false" outlineLevel="0" collapsed="false">
      <c r="A33" s="79" t="s">
        <v>522</v>
      </c>
      <c r="E33" s="80" t="n">
        <f aca="false">SUM(E22:E32)</f>
        <v>9609034.02897617</v>
      </c>
      <c r="J33" s="80" t="n">
        <f aca="false">SUM(J22:J32)</f>
        <v>6636827.22318094</v>
      </c>
    </row>
    <row r="35" customFormat="false" ht="15" hidden="false" customHeight="false" outlineLevel="0" collapsed="false">
      <c r="A35" s="21" t="s">
        <v>1245</v>
      </c>
    </row>
    <row r="36" customFormat="false" ht="15" hidden="false" customHeight="false" outlineLevel="0" collapsed="false">
      <c r="A36" s="0" t="s">
        <v>1246</v>
      </c>
      <c r="E36" s="120" t="n">
        <v>31</v>
      </c>
    </row>
    <row r="37" customFormat="false" ht="15" hidden="false" customHeight="false" outlineLevel="0" collapsed="false">
      <c r="A37" s="0" t="s">
        <v>1247</v>
      </c>
      <c r="E37" s="105" t="n">
        <v>6480000</v>
      </c>
    </row>
    <row r="38" customFormat="false" ht="15" hidden="false" customHeight="false" outlineLevel="0" collapsed="false">
      <c r="A38" s="0" t="s">
        <v>1248</v>
      </c>
      <c r="E38" s="120" t="n">
        <v>12</v>
      </c>
    </row>
    <row r="39" customFormat="false" ht="15" hidden="false" customHeight="false" outlineLevel="0" collapsed="false">
      <c r="A39" s="0" t="s">
        <v>1249</v>
      </c>
      <c r="E39" s="105" t="n">
        <v>2690000</v>
      </c>
    </row>
    <row r="40" customFormat="false" ht="15" hidden="false" customHeight="false" outlineLevel="0" collapsed="false">
      <c r="A40" s="0" t="s">
        <v>1250</v>
      </c>
      <c r="E40" s="120" t="n">
        <v>14</v>
      </c>
    </row>
    <row r="41" customFormat="false" ht="15" hidden="false" customHeight="false" outlineLevel="0" collapsed="false">
      <c r="A41" s="0" t="s">
        <v>1251</v>
      </c>
      <c r="E41" s="105" t="n">
        <v>2910000</v>
      </c>
    </row>
    <row r="42" customFormat="false" ht="15" hidden="false" customHeight="false" outlineLevel="0" collapsed="false">
      <c r="A42" s="0" t="s">
        <v>1252</v>
      </c>
      <c r="E42" s="120" t="n">
        <v>5</v>
      </c>
    </row>
    <row r="43" customFormat="false" ht="15" hidden="false" customHeight="false" outlineLevel="0" collapsed="false">
      <c r="A43" s="5" t="s">
        <v>1253</v>
      </c>
      <c r="E43" s="38" t="n">
        <f aca="false">IF(E38+E40=0,0,E38/(E38+E40))</f>
        <v>0.461538461538462</v>
      </c>
    </row>
    <row r="44" customFormat="false" ht="15" hidden="false" customHeight="false" outlineLevel="0" collapsed="false">
      <c r="A44" s="5" t="s">
        <v>1254</v>
      </c>
      <c r="E44" s="38" t="n">
        <f aca="false">IF(E39+E41=0,0,E39/(E39+E41))</f>
        <v>0.480357142857143</v>
      </c>
    </row>
    <row r="45" customFormat="false" ht="15" hidden="false" customHeight="false" outlineLevel="0" collapsed="false">
      <c r="A45" s="5" t="s">
        <v>1255</v>
      </c>
      <c r="E45" s="37" t="n">
        <f aca="false">IF(E38=0,0,E39/E38)</f>
        <v>224166.666666667</v>
      </c>
    </row>
    <row r="48" customFormat="false" ht="15" hidden="false" customHeight="false" outlineLevel="0" collapsed="false">
      <c r="A48" s="21" t="s">
        <v>1256</v>
      </c>
    </row>
    <row r="49" customFormat="false" ht="36" hidden="false" customHeight="true" outlineLevel="0" collapsed="false">
      <c r="A49" s="27" t="s">
        <v>731</v>
      </c>
      <c r="B49" s="28" t="s">
        <v>732</v>
      </c>
      <c r="C49" s="28" t="s">
        <v>1257</v>
      </c>
      <c r="D49" s="28" t="s">
        <v>1258</v>
      </c>
      <c r="E49" s="28" t="s">
        <v>1259</v>
      </c>
      <c r="F49" s="28" t="s">
        <v>1260</v>
      </c>
      <c r="G49" s="28" t="s">
        <v>1261</v>
      </c>
      <c r="H49" s="28" t="s">
        <v>1262</v>
      </c>
      <c r="I49" s="28" t="s">
        <v>1263</v>
      </c>
    </row>
    <row r="50" customFormat="false" ht="15" hidden="false" customHeight="false" outlineLevel="0" collapsed="false">
      <c r="A50" s="119" t="s">
        <v>753</v>
      </c>
      <c r="B50" s="119" t="s">
        <v>1264</v>
      </c>
      <c r="C50" s="119" t="s">
        <v>1265</v>
      </c>
      <c r="D50" s="62" t="n">
        <f aca="false">Clients!$C$11</f>
        <v>2007922.99895865</v>
      </c>
      <c r="E50" s="121" t="n">
        <f aca="false">IF($D$64=0,0,D50/$D$64)</f>
        <v>0.262004596392504</v>
      </c>
      <c r="F50" s="62" t="n">
        <f aca="false">Clients!$D$11</f>
        <v>1580545.08575375</v>
      </c>
      <c r="G50" s="121" t="n">
        <f aca="false">IF($F$64=0,0,F50/$F$64)</f>
        <v>0.194195981399746</v>
      </c>
      <c r="H50" s="62" t="n">
        <f aca="false">INDEX(Clients!$E$18:$AB$18,Assumptions!$C$10)</f>
        <v>260110.5345</v>
      </c>
      <c r="I50" s="67" t="n">
        <f aca="false">INDEX(Clients!$E$19:$AB$19,Assumptions!$C$10)</f>
        <v>48.8202410786156</v>
      </c>
    </row>
    <row r="51" customFormat="false" ht="15" hidden="false" customHeight="false" outlineLevel="0" collapsed="false">
      <c r="A51" s="119" t="s">
        <v>757</v>
      </c>
      <c r="B51" s="119" t="s">
        <v>1266</v>
      </c>
      <c r="C51" s="119" t="s">
        <v>1267</v>
      </c>
      <c r="D51" s="62" t="n">
        <f aca="false">Clients!$C$25</f>
        <v>526850.54</v>
      </c>
      <c r="E51" s="121" t="n">
        <f aca="false">IF($D$64=0,0,D51/$D$64)</f>
        <v>0.068746293141451</v>
      </c>
      <c r="F51" s="62" t="n">
        <f aca="false">Clients!$D$25</f>
        <v>351147.2</v>
      </c>
      <c r="G51" s="121" t="n">
        <f aca="false">IF($F$64=0,0,F51/$F$64)</f>
        <v>0.0431442138123209</v>
      </c>
      <c r="H51" s="62" t="n">
        <f aca="false">INDEX(Clients!$E$32:$AB$32,Assumptions!$C$10)</f>
        <v>192167.81</v>
      </c>
      <c r="I51" s="67" t="n">
        <f aca="false">INDEX(Clients!$E$33:$AB$33,Assumptions!$C$10)</f>
        <v>68.1187980418385</v>
      </c>
    </row>
    <row r="52" customFormat="false" ht="15" hidden="false" customHeight="false" outlineLevel="0" collapsed="false">
      <c r="A52" s="119" t="s">
        <v>761</v>
      </c>
      <c r="B52" s="119" t="s">
        <v>1268</v>
      </c>
      <c r="C52" s="119" t="s">
        <v>1269</v>
      </c>
      <c r="D52" s="62" t="n">
        <f aca="false">Clients!$C$39</f>
        <v>1024360.72613678</v>
      </c>
      <c r="E52" s="121" t="n">
        <f aca="false">IF($D$64=0,0,D52/$D$64)</f>
        <v>0.13366409904712</v>
      </c>
      <c r="F52" s="62" t="n">
        <f aca="false">Clients!$D$39</f>
        <v>349650.648634065</v>
      </c>
      <c r="G52" s="121" t="n">
        <f aca="false">IF($F$64=0,0,F52/$F$64)</f>
        <v>0.0429603378420355</v>
      </c>
      <c r="H52" s="62" t="n">
        <f aca="false">INDEX(Clients!$E$46:$AB$46,Assumptions!$C$10)</f>
        <v>57147.8361</v>
      </c>
      <c r="I52" s="67" t="n">
        <f aca="false">INDEX(Clients!$E$47:$AB$47,Assumptions!$C$10)</f>
        <v>18.2912678373442</v>
      </c>
    </row>
    <row r="53" customFormat="false" ht="15" hidden="false" customHeight="false" outlineLevel="0" collapsed="false">
      <c r="A53" s="119" t="s">
        <v>764</v>
      </c>
      <c r="B53" s="119" t="s">
        <v>1270</v>
      </c>
      <c r="C53" s="119" t="s">
        <v>1271</v>
      </c>
      <c r="D53" s="62" t="n">
        <f aca="false">Clients!$C$53</f>
        <v>313425.340210379</v>
      </c>
      <c r="E53" s="121" t="n">
        <f aca="false">IF($D$64=0,0,D53/$D$64)</f>
        <v>0.0408974247536345</v>
      </c>
      <c r="F53" s="62" t="n">
        <f aca="false">Clients!$D$53</f>
        <v>31416.5497896213</v>
      </c>
      <c r="G53" s="121" t="n">
        <f aca="false">IF($F$64=0,0,F53/$F$64)</f>
        <v>0.00386004029469365</v>
      </c>
      <c r="H53" s="62" t="n">
        <f aca="false">INDEX(Clients!$E$60:$AB$60,Assumptions!$C$10)</f>
        <v>0</v>
      </c>
      <c r="I53" s="67" t="n">
        <f aca="false">INDEX(Clients!$E$61:$AB$61,Assumptions!$C$10)</f>
        <v>0</v>
      </c>
    </row>
    <row r="54" customFormat="false" ht="15" hidden="false" customHeight="false" outlineLevel="0" collapsed="false">
      <c r="A54" s="119" t="s">
        <v>767</v>
      </c>
      <c r="B54" s="119" t="s">
        <v>1272</v>
      </c>
      <c r="C54" s="119" t="s">
        <v>1273</v>
      </c>
      <c r="D54" s="62" t="n">
        <f aca="false">Clients!$C$67</f>
        <v>399720</v>
      </c>
      <c r="E54" s="121" t="n">
        <f aca="false">IF($D$64=0,0,D54/$D$64)</f>
        <v>0.0521576162653279</v>
      </c>
      <c r="F54" s="62" t="n">
        <f aca="false">Clients!$D$67</f>
        <v>160652</v>
      </c>
      <c r="G54" s="121" t="n">
        <f aca="false">IF($F$64=0,0,F54/$F$64)</f>
        <v>0.0197387427192271</v>
      </c>
      <c r="H54" s="62" t="n">
        <f aca="false">INDEX(Clients!$E$74:$AB$74,Assumptions!$C$10)</f>
        <v>78835.16</v>
      </c>
      <c r="I54" s="67" t="n">
        <f aca="false">INDEX(Clients!$E$75:$AB$75,Assumptions!$C$10)</f>
        <v>41.4613543703196</v>
      </c>
    </row>
    <row r="55" customFormat="false" ht="15" hidden="false" customHeight="false" outlineLevel="0" collapsed="false">
      <c r="A55" s="119" t="s">
        <v>779</v>
      </c>
      <c r="B55" s="119" t="s">
        <v>1274</v>
      </c>
      <c r="C55" s="119" t="s">
        <v>1275</v>
      </c>
      <c r="D55" s="62" t="n">
        <f aca="false">Clients!$C$81</f>
        <v>714494.516768953</v>
      </c>
      <c r="E55" s="121" t="n">
        <f aca="false">IF($D$64=0,0,D55/$D$64)</f>
        <v>0.0932310888354747</v>
      </c>
      <c r="F55" s="62" t="n">
        <f aca="false">Clients!$D$81</f>
        <v>253242.38016</v>
      </c>
      <c r="G55" s="121" t="n">
        <f aca="false">IF($F$64=0,0,F55/$F$64)</f>
        <v>0.0311149950674934</v>
      </c>
      <c r="H55" s="62" t="n">
        <f aca="false">INDEX(Clients!$E$88:$AB$88,Assumptions!$C$10)</f>
        <v>155586.4372</v>
      </c>
      <c r="I55" s="67" t="n">
        <f aca="false">INDEX(Clients!$E$89:$AB$89,Assumptions!$C$10)</f>
        <v>47.2747375689114</v>
      </c>
    </row>
    <row r="56" customFormat="false" ht="15" hidden="false" customHeight="false" outlineLevel="0" collapsed="false">
      <c r="A56" s="119" t="s">
        <v>771</v>
      </c>
      <c r="B56" s="119" t="s">
        <v>1276</v>
      </c>
      <c r="C56" s="119" t="s">
        <v>1277</v>
      </c>
      <c r="D56" s="62" t="n">
        <f aca="false">Clients!$C$95</f>
        <v>330000</v>
      </c>
      <c r="E56" s="121" t="n">
        <f aca="false">IF($D$64=0,0,D56/$D$64)</f>
        <v>0.0430601755417748</v>
      </c>
      <c r="F56" s="62" t="n">
        <f aca="false">Clients!$D$95</f>
        <v>0</v>
      </c>
      <c r="G56" s="121" t="n">
        <f aca="false">IF($F$64=0,0,F56/$F$64)</f>
        <v>0</v>
      </c>
      <c r="H56" s="62" t="n">
        <f aca="false">INDEX(Clients!$E$102:$AB$102,Assumptions!$C$10)</f>
        <v>41532.26</v>
      </c>
      <c r="I56" s="67" t="n">
        <f aca="false">INDEX(Clients!$E$103:$AB$103,Assumptions!$C$10)</f>
        <v>23.7844252723312</v>
      </c>
    </row>
    <row r="57" customFormat="false" ht="15" hidden="false" customHeight="false" outlineLevel="0" collapsed="false">
      <c r="A57" s="119" t="s">
        <v>776</v>
      </c>
      <c r="B57" s="119" t="s">
        <v>1278</v>
      </c>
      <c r="C57" s="119" t="s">
        <v>1279</v>
      </c>
      <c r="D57" s="62" t="n">
        <f aca="false">Clients!$C$109</f>
        <v>436621.28</v>
      </c>
      <c r="E57" s="121" t="n">
        <f aca="false">IF($D$64=0,0,D57/$D$64)</f>
        <v>0.0569726938244679</v>
      </c>
      <c r="F57" s="62" t="n">
        <f aca="false">Clients!$D$109</f>
        <v>117000</v>
      </c>
      <c r="G57" s="121" t="n">
        <f aca="false">IF($F$64=0,0,F57/$F$64)</f>
        <v>0.0143753759564124</v>
      </c>
      <c r="H57" s="62" t="n">
        <f aca="false">INDEX(Clients!$E$116:$AB$116,Assumptions!$C$10)</f>
        <v>111880.4106</v>
      </c>
      <c r="I57" s="67" t="n">
        <f aca="false">INDEX(Clients!$E$117:$AB$117,Assumptions!$C$10)</f>
        <v>50.2556391603433</v>
      </c>
    </row>
    <row r="58" customFormat="false" ht="15" hidden="false" customHeight="false" outlineLevel="0" collapsed="false">
      <c r="A58" s="119" t="s">
        <v>786</v>
      </c>
      <c r="B58" s="119" t="s">
        <v>1280</v>
      </c>
      <c r="C58" s="119" t="s">
        <v>1281</v>
      </c>
      <c r="D58" s="62" t="n">
        <f aca="false">Clients!$C$123</f>
        <v>690368.893516408</v>
      </c>
      <c r="E58" s="121" t="n">
        <f aca="false">IF($D$64=0,0,D58/$D$64)</f>
        <v>0.0900830477072647</v>
      </c>
      <c r="F58" s="62" t="n">
        <f aca="false">Clients!$D$123</f>
        <v>183071.873446286</v>
      </c>
      <c r="G58" s="121" t="n">
        <f aca="false">IF($F$64=0,0,F58/$F$64)</f>
        <v>0.02249339322936</v>
      </c>
      <c r="H58" s="62" t="n">
        <f aca="false">INDEX(Clients!$E$130:$AB$130,Assumptions!$C$10)</f>
        <v>-0.00530000001890585</v>
      </c>
      <c r="I58" s="67" t="n">
        <f aca="false">INDEX(Clients!$E$131:$AB$131,Assumptions!$C$10)</f>
        <v>-2.96814281335811E-006</v>
      </c>
    </row>
    <row r="59" customFormat="false" ht="15" hidden="false" customHeight="false" outlineLevel="0" collapsed="false">
      <c r="A59" s="119" t="s">
        <v>769</v>
      </c>
      <c r="B59" s="119" t="s">
        <v>1282</v>
      </c>
      <c r="C59" s="119" t="s">
        <v>1283</v>
      </c>
      <c r="D59" s="62" t="n">
        <f aca="false">Clients!$C$137</f>
        <v>202397.13</v>
      </c>
      <c r="E59" s="121" t="n">
        <f aca="false">IF($D$64=0,0,D59/$D$64)</f>
        <v>0.0264098665059134</v>
      </c>
      <c r="F59" s="62" t="n">
        <f aca="false">Clients!$D$137</f>
        <v>0</v>
      </c>
      <c r="G59" s="121" t="n">
        <f aca="false">IF($F$64=0,0,F59/$F$64)</f>
        <v>0</v>
      </c>
      <c r="H59" s="62" t="n">
        <f aca="false">INDEX(Clients!$E$145:$AB$145,Assumptions!$C$10)</f>
        <v>123036.4612</v>
      </c>
      <c r="I59" s="67" t="n">
        <f aca="false">INDEX(Clients!$E$146:$AB$146,Assumptions!$C$10)</f>
        <v>152.063880262865</v>
      </c>
    </row>
    <row r="60" customFormat="false" ht="15" hidden="false" customHeight="false" outlineLevel="0" collapsed="false">
      <c r="A60" s="119" t="s">
        <v>781</v>
      </c>
      <c r="B60" s="119" t="s">
        <v>1284</v>
      </c>
      <c r="C60" s="119" t="s">
        <v>1285</v>
      </c>
      <c r="D60" s="62" t="n">
        <f aca="false">Clients!$C$152</f>
        <v>180000</v>
      </c>
      <c r="E60" s="121" t="n">
        <f aca="false">IF($D$64=0,0,D60/$D$64)</f>
        <v>0.0234873684773317</v>
      </c>
      <c r="F60" s="62" t="n">
        <f aca="false">Clients!$D$152</f>
        <v>273459.14112</v>
      </c>
      <c r="G60" s="121" t="n">
        <f aca="false">IF($F$64=0,0,F60/$F$64)</f>
        <v>0.0335989569428858</v>
      </c>
      <c r="H60" s="62" t="n">
        <f aca="false">INDEX(Clients!$E$159:$AB$159,Assumptions!$C$10)</f>
        <v>0</v>
      </c>
      <c r="I60" s="67" t="n">
        <f aca="false">INDEX(Clients!$E$160:$AB$160,Assumptions!$C$10)</f>
        <v>0</v>
      </c>
    </row>
    <row r="61" customFormat="false" ht="15" hidden="false" customHeight="false" outlineLevel="0" collapsed="false">
      <c r="A61" s="119" t="s">
        <v>773</v>
      </c>
      <c r="B61" s="119" t="s">
        <v>1286</v>
      </c>
      <c r="C61" s="119" t="s">
        <v>1287</v>
      </c>
      <c r="D61" s="62" t="n">
        <f aca="false">Clients!$C$166</f>
        <v>628218.838363604</v>
      </c>
      <c r="E61" s="121" t="n">
        <f aca="false">IF($D$64=0,0,D61/$D$64)</f>
        <v>0.0819733741169292</v>
      </c>
      <c r="F61" s="62" t="n">
        <f aca="false">Clients!$D$166</f>
        <v>186045.453189044</v>
      </c>
      <c r="G61" s="121" t="n">
        <f aca="false">IF($F$64=0,0,F61/$F$64)</f>
        <v>0.0228587464493474</v>
      </c>
      <c r="H61" s="62" t="n">
        <f aca="false">INDEX(Clients!$E$173:$AB$173,Assumptions!$C$10)</f>
        <v>78067.52</v>
      </c>
      <c r="I61" s="67" t="n">
        <f aca="false">INDEX(Clients!$E$174:$AB$174,Assumptions!$C$10)</f>
        <v>36.3329556645287</v>
      </c>
    </row>
    <row r="62" customFormat="false" ht="15" hidden="false" customHeight="false" outlineLevel="0" collapsed="false">
      <c r="A62" s="119" t="s">
        <v>1288</v>
      </c>
      <c r="B62" s="119" t="s">
        <v>1289</v>
      </c>
      <c r="C62" s="119" t="s">
        <v>1290</v>
      </c>
      <c r="D62" s="62" t="n">
        <f aca="false">Clients!$C$180</f>
        <v>0</v>
      </c>
      <c r="E62" s="121" t="n">
        <f aca="false">IF($D$64=0,0,D62/$D$64)</f>
        <v>0</v>
      </c>
      <c r="F62" s="62" t="n">
        <f aca="false">Clients!$D$180</f>
        <v>94500</v>
      </c>
      <c r="G62" s="121" t="n">
        <f aca="false">IF($F$64=0,0,F62/$F$64)</f>
        <v>0.0116108805801793</v>
      </c>
      <c r="H62" s="62" t="n">
        <f aca="false">INDEX(Clients!$E$187:$AB$187,Assumptions!$C$10)</f>
        <v>0</v>
      </c>
      <c r="I62" s="67" t="n">
        <f aca="false">INDEX(Clients!$E$188:$AB$188,Assumptions!$C$10)</f>
        <v>0</v>
      </c>
    </row>
    <row r="63" customFormat="false" ht="15" hidden="false" customHeight="false" outlineLevel="0" collapsed="false">
      <c r="A63" s="119" t="s">
        <v>1241</v>
      </c>
      <c r="B63" s="119" t="s">
        <v>1291</v>
      </c>
      <c r="C63" s="119" t="s">
        <v>1292</v>
      </c>
      <c r="D63" s="62" t="n">
        <f aca="false">Clients!$C$194</f>
        <v>209313.528464873</v>
      </c>
      <c r="E63" s="121" t="n">
        <f aca="false">IF($D$64=0,0,D63/$D$64)</f>
        <v>0.0273123553908052</v>
      </c>
      <c r="F63" s="62" t="n">
        <f aca="false">Clients!$D$194</f>
        <v>4558187.24159404</v>
      </c>
      <c r="G63" s="121" t="n">
        <f aca="false">IF($F$64=0,0,F63/$F$64)</f>
        <v>0.560048335706299</v>
      </c>
      <c r="H63" s="62" t="n">
        <f aca="false">INDEX(Clients!$E$201:$AB$201,Assumptions!$C$10)</f>
        <v>0</v>
      </c>
      <c r="I63" s="67" t="n">
        <f aca="false">INDEX(Clients!$E$202:$AB$202,Assumptions!$C$10)</f>
        <v>0</v>
      </c>
    </row>
    <row r="64" customFormat="false" ht="15" hidden="false" customHeight="false" outlineLevel="0" collapsed="false">
      <c r="A64" s="79" t="s">
        <v>522</v>
      </c>
      <c r="D64" s="80" t="n">
        <f aca="false">SUM(D50:D63)</f>
        <v>7663693.79241965</v>
      </c>
      <c r="F64" s="80" t="n">
        <f aca="false">SUM(F50:F63)</f>
        <v>8138917.57368681</v>
      </c>
      <c r="H64" s="80" t="n">
        <f aca="false">SUM(H50:H63)</f>
        <v>1098364.4243</v>
      </c>
    </row>
    <row r="66" customFormat="false" ht="15" hidden="false" customHeight="false" outlineLevel="0" collapsed="false">
      <c r="A66" s="5" t="s">
        <v>1293</v>
      </c>
      <c r="E66" s="38" t="n">
        <f aca="false">MAX(E50:E62)</f>
        <v>0.262004596392504</v>
      </c>
    </row>
    <row r="67" customFormat="false" ht="15" hidden="false" customHeight="false" outlineLevel="0" collapsed="false">
      <c r="A67" s="5" t="s">
        <v>1294</v>
      </c>
      <c r="E67" s="38" t="n">
        <f aca="false">LARGE(E50:E62,1)+LARGE(E50:E62,2)+LARGE(E50:E62,3)+LARGE(E50:E62,4)+LARGE(E50:E62,5)</f>
        <v>0.660956206099294</v>
      </c>
    </row>
    <row r="68" customFormat="false" ht="15" hidden="false" customHeight="false" outlineLevel="0" collapsed="false">
      <c r="A68" s="5" t="s">
        <v>1295</v>
      </c>
      <c r="E68" s="38" t="n">
        <f aca="false">MAX(G50:G62)</f>
        <v>0.194195981399746</v>
      </c>
    </row>
    <row r="69" customFormat="false" ht="15" hidden="false" customHeight="false" outlineLevel="0" collapsed="false">
      <c r="A69" s="5" t="s">
        <v>1296</v>
      </c>
      <c r="E69" s="38" t="n">
        <f aca="false">LARGE(G50:G62,1)+LARGE(G50:G62,2)+LARGE(G50:G62,3)+LARGE(G50:G62,4)+LARGE(G50:G62,5)</f>
        <v>0.345014485064482</v>
      </c>
    </row>
    <row r="71" customFormat="false" ht="15" hidden="false" customHeight="false" outlineLevel="0" collapsed="false">
      <c r="A71" s="26" t="s">
        <v>1297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1298</v>
      </c>
    </row>
    <row r="3" customFormat="false" ht="15" hidden="false" customHeight="false" outlineLevel="0" collapsed="false">
      <c r="A3" s="51" t="s">
        <v>1299</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1300</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1301</v>
      </c>
      <c r="B9" s="60" t="s">
        <v>54</v>
      </c>
      <c r="C9" s="61" t="n">
        <f aca="false">P9</f>
        <v>1082523.84221462</v>
      </c>
      <c r="D9" s="61" t="n">
        <f aca="false">AB9</f>
        <v>962131.428489923</v>
      </c>
      <c r="E9" s="62" t="n">
        <f aca="false">Clients!E218</f>
        <v>712895.5215</v>
      </c>
      <c r="F9" s="62" t="n">
        <f aca="false">Clients!F218</f>
        <v>670346.0815</v>
      </c>
      <c r="G9" s="62" t="n">
        <f aca="false">Clients!G218</f>
        <v>665780.1664</v>
      </c>
      <c r="H9" s="62" t="n">
        <f aca="false">Clients!H218</f>
        <v>815125.1939</v>
      </c>
      <c r="I9" s="62" t="n">
        <f aca="false">Clients!I218</f>
        <v>734715.0005</v>
      </c>
      <c r="J9" s="62" t="n">
        <f aca="false">Clients!J218</f>
        <v>827102.1112</v>
      </c>
      <c r="K9" s="62" t="n">
        <f aca="false">Clients!K218</f>
        <v>915707.4454</v>
      </c>
      <c r="L9" s="62" t="n">
        <f aca="false">Clients!L218</f>
        <v>897260.4431</v>
      </c>
      <c r="M9" s="62" t="n">
        <f aca="false">Clients!M218</f>
        <v>786578.621934</v>
      </c>
      <c r="N9" s="62" t="n">
        <f aca="false">Clients!N218</f>
        <v>994158.619920501</v>
      </c>
      <c r="O9" s="62" t="n">
        <f aca="false">Clients!O218</f>
        <v>912312.529529373</v>
      </c>
      <c r="P9" s="62" t="n">
        <f aca="false">Clients!P218</f>
        <v>1082523.84221462</v>
      </c>
      <c r="Q9" s="62" t="n">
        <f aca="false">Clients!Q218</f>
        <v>1038547.30565022</v>
      </c>
      <c r="R9" s="62" t="n">
        <f aca="false">Clients!R218</f>
        <v>1008898.92583115</v>
      </c>
      <c r="S9" s="62" t="n">
        <f aca="false">Clients!S218</f>
        <v>965952.85682676</v>
      </c>
      <c r="T9" s="62" t="n">
        <f aca="false">Clients!T218</f>
        <v>962765.301780794</v>
      </c>
      <c r="U9" s="62" t="n">
        <f aca="false">Clients!U218</f>
        <v>1020812.94740057</v>
      </c>
      <c r="V9" s="62" t="n">
        <f aca="false">Clients!V218</f>
        <v>790911.800637722</v>
      </c>
      <c r="W9" s="62" t="n">
        <f aca="false">Clients!W218</f>
        <v>966086.982122963</v>
      </c>
      <c r="X9" s="62" t="n">
        <f aca="false">Clients!X218</f>
        <v>993631.582826</v>
      </c>
      <c r="Y9" s="62" t="n">
        <f aca="false">Clients!Y218</f>
        <v>906450.897305141</v>
      </c>
      <c r="Z9" s="62" t="n">
        <f aca="false">Clients!Z218</f>
        <v>1006604.47071027</v>
      </c>
      <c r="AA9" s="62" t="n">
        <f aca="false">Clients!AA218</f>
        <v>945048.994242378</v>
      </c>
      <c r="AB9" s="62" t="n">
        <f aca="false">Clients!AB218</f>
        <v>962131.428489923</v>
      </c>
    </row>
    <row r="10" customFormat="false" ht="15" hidden="false" customHeight="false" outlineLevel="0" collapsed="false">
      <c r="A10" s="29" t="s">
        <v>1302</v>
      </c>
      <c r="B10" s="60" t="s">
        <v>54</v>
      </c>
      <c r="C10" s="61" t="n">
        <f aca="false">P10</f>
        <v>0</v>
      </c>
      <c r="D10" s="61" t="n">
        <f aca="false">AB10</f>
        <v>0</v>
      </c>
      <c r="E10" s="62" t="n">
        <f aca="false">Clients!E219</f>
        <v>0</v>
      </c>
      <c r="F10" s="62" t="n">
        <f aca="false">Clients!F219</f>
        <v>0</v>
      </c>
      <c r="G10" s="62" t="n">
        <f aca="false">Clients!G219</f>
        <v>59471.79</v>
      </c>
      <c r="H10" s="62" t="n">
        <f aca="false">Clients!H219</f>
        <v>68936.55</v>
      </c>
      <c r="I10" s="62" t="n">
        <f aca="false">Clients!I219</f>
        <v>64551.02</v>
      </c>
      <c r="J10" s="62" t="n">
        <f aca="false">Clients!J219</f>
        <v>105075.76</v>
      </c>
      <c r="K10" s="62" t="n">
        <f aca="false">Clients!K219</f>
        <v>65658.62</v>
      </c>
      <c r="L10" s="62" t="n">
        <f aca="false">Clients!L219</f>
        <v>78067.52</v>
      </c>
      <c r="M10" s="62" t="n">
        <f aca="false">Clients!M219</f>
        <v>130660.06</v>
      </c>
      <c r="N10" s="62" t="n">
        <f aca="false">Clients!N219</f>
        <v>71063.1970791517</v>
      </c>
      <c r="O10" s="62" t="n">
        <f aca="false">Clients!O219</f>
        <v>122458.786714994</v>
      </c>
      <c r="P10" s="62" t="n">
        <f aca="false">Clients!P219</f>
        <v>0</v>
      </c>
      <c r="Q10" s="62" t="n">
        <f aca="false">Clients!Q219</f>
        <v>40443.5445694581</v>
      </c>
      <c r="R10" s="62" t="n">
        <f aca="false">Clients!R219</f>
        <v>72290.8974091144</v>
      </c>
      <c r="S10" s="62" t="n">
        <f aca="false">Clients!S219</f>
        <v>74549.9879531493</v>
      </c>
      <c r="T10" s="62" t="n">
        <f aca="false">Clients!T219</f>
        <v>79971.8052588329</v>
      </c>
      <c r="U10" s="62" t="n">
        <f aca="false">Clients!U219</f>
        <v>83586.3501292886</v>
      </c>
      <c r="V10" s="62" t="n">
        <f aca="false">Clients!V219</f>
        <v>63706.3533417821</v>
      </c>
      <c r="W10" s="62" t="n">
        <f aca="false">Clients!W219</f>
        <v>43380.9767059136</v>
      </c>
      <c r="X10" s="62" t="n">
        <f aca="false">Clients!X219</f>
        <v>42018.2235109635</v>
      </c>
      <c r="Y10" s="62" t="n">
        <f aca="false">Clients!Y219</f>
        <v>0</v>
      </c>
      <c r="Z10" s="62" t="n">
        <f aca="false">Clients!Z219</f>
        <v>0</v>
      </c>
      <c r="AA10" s="62" t="n">
        <f aca="false">Clients!AA219</f>
        <v>0</v>
      </c>
      <c r="AB10" s="62" t="n">
        <f aca="false">Clients!AB219</f>
        <v>0</v>
      </c>
    </row>
    <row r="11" customFormat="false" ht="15" hidden="false" customHeight="false" outlineLevel="0" collapsed="false">
      <c r="A11" s="29" t="s">
        <v>1303</v>
      </c>
      <c r="B11" s="60" t="s">
        <v>54</v>
      </c>
      <c r="C11" s="61" t="n">
        <f aca="false">P11</f>
        <v>123036.4612</v>
      </c>
      <c r="D11" s="61" t="n">
        <f aca="false">AB11</f>
        <v>123036.4612</v>
      </c>
      <c r="E11" s="62" t="n">
        <f aca="false">Clients!E220</f>
        <v>36076.8065</v>
      </c>
      <c r="F11" s="62" t="n">
        <f aca="false">Clients!F220</f>
        <v>59097.3223</v>
      </c>
      <c r="G11" s="62" t="n">
        <f aca="false">Clients!G220</f>
        <v>61023.2319</v>
      </c>
      <c r="H11" s="62" t="n">
        <f aca="false">Clients!H220</f>
        <v>63137.1899</v>
      </c>
      <c r="I11" s="62" t="n">
        <f aca="false">Clients!I220</f>
        <v>71975.2379</v>
      </c>
      <c r="J11" s="62" t="n">
        <f aca="false">Clients!J220</f>
        <v>105634.2808</v>
      </c>
      <c r="K11" s="62" t="n">
        <f aca="false">Clients!K220</f>
        <v>123036.4612</v>
      </c>
      <c r="L11" s="62" t="n">
        <f aca="false">Clients!L220</f>
        <v>123036.4612</v>
      </c>
      <c r="M11" s="62" t="n">
        <f aca="false">Clients!M220</f>
        <v>123036.4612</v>
      </c>
      <c r="N11" s="62" t="n">
        <f aca="false">Clients!N220</f>
        <v>123036.4612</v>
      </c>
      <c r="O11" s="62" t="n">
        <f aca="false">Clients!O220</f>
        <v>123036.4612</v>
      </c>
      <c r="P11" s="62" t="n">
        <f aca="false">Clients!P220</f>
        <v>123036.4612</v>
      </c>
      <c r="Q11" s="62" t="n">
        <f aca="false">Clients!Q220</f>
        <v>123036.4612</v>
      </c>
      <c r="R11" s="62" t="n">
        <f aca="false">Clients!R220</f>
        <v>123036.4612</v>
      </c>
      <c r="S11" s="62" t="n">
        <f aca="false">Clients!S220</f>
        <v>123036.4612</v>
      </c>
      <c r="T11" s="62" t="n">
        <f aca="false">Clients!T220</f>
        <v>123036.4612</v>
      </c>
      <c r="U11" s="62" t="n">
        <f aca="false">Clients!U220</f>
        <v>123036.4612</v>
      </c>
      <c r="V11" s="62" t="n">
        <f aca="false">Clients!V220</f>
        <v>123036.4612</v>
      </c>
      <c r="W11" s="62" t="n">
        <f aca="false">Clients!W220</f>
        <v>123036.4612</v>
      </c>
      <c r="X11" s="62" t="n">
        <f aca="false">Clients!X220</f>
        <v>123036.4612</v>
      </c>
      <c r="Y11" s="62" t="n">
        <f aca="false">Clients!Y220</f>
        <v>123036.4612</v>
      </c>
      <c r="Z11" s="62" t="n">
        <f aca="false">Clients!Z220</f>
        <v>123036.4612</v>
      </c>
      <c r="AA11" s="62" t="n">
        <f aca="false">Clients!AA220</f>
        <v>123036.4612</v>
      </c>
      <c r="AB11" s="62" t="n">
        <f aca="false">Clients!AB220</f>
        <v>123036.4612</v>
      </c>
    </row>
    <row r="12" customFormat="false" ht="15" hidden="false" customHeight="false" outlineLevel="0" collapsed="false">
      <c r="A12" s="68" t="s">
        <v>1304</v>
      </c>
      <c r="B12" s="69"/>
      <c r="C12" s="70" t="n">
        <f aca="false">P12</f>
        <v>1205560.30341462</v>
      </c>
      <c r="D12" s="70" t="n">
        <f aca="false">AB12</f>
        <v>1085167.88968992</v>
      </c>
      <c r="E12" s="70" t="n">
        <f aca="false">E9+E10+E11</f>
        <v>748972.328</v>
      </c>
      <c r="F12" s="70" t="n">
        <f aca="false">F9+F10+F11</f>
        <v>729443.4038</v>
      </c>
      <c r="G12" s="70" t="n">
        <f aca="false">G9+G10+G11</f>
        <v>786275.1883</v>
      </c>
      <c r="H12" s="70" t="n">
        <f aca="false">H9+H10+H11</f>
        <v>947198.9338</v>
      </c>
      <c r="I12" s="70" t="n">
        <f aca="false">I9+I10+I11</f>
        <v>871241.2584</v>
      </c>
      <c r="J12" s="70" t="n">
        <f aca="false">J9+J10+J11</f>
        <v>1037812.152</v>
      </c>
      <c r="K12" s="70" t="n">
        <f aca="false">K9+K10+K11</f>
        <v>1104402.5266</v>
      </c>
      <c r="L12" s="70" t="n">
        <f aca="false">L9+L10+L11</f>
        <v>1098364.4243</v>
      </c>
      <c r="M12" s="70" t="n">
        <f aca="false">M9+M10+M11</f>
        <v>1040275.143134</v>
      </c>
      <c r="N12" s="70" t="n">
        <f aca="false">N9+N10+N11</f>
        <v>1188258.27819965</v>
      </c>
      <c r="O12" s="70" t="n">
        <f aca="false">O9+O10+O11</f>
        <v>1157807.77744437</v>
      </c>
      <c r="P12" s="70" t="n">
        <f aca="false">P9+P10+P11</f>
        <v>1205560.30341462</v>
      </c>
      <c r="Q12" s="70" t="n">
        <f aca="false">Q9+Q10+Q11</f>
        <v>1202027.31141968</v>
      </c>
      <c r="R12" s="70" t="n">
        <f aca="false">R9+R10+R11</f>
        <v>1204226.28444027</v>
      </c>
      <c r="S12" s="70" t="n">
        <f aca="false">S9+S10+S11</f>
        <v>1163539.30597991</v>
      </c>
      <c r="T12" s="70" t="n">
        <f aca="false">T9+T10+T11</f>
        <v>1165773.56823963</v>
      </c>
      <c r="U12" s="70" t="n">
        <f aca="false">U9+U10+U11</f>
        <v>1227435.75872986</v>
      </c>
      <c r="V12" s="70" t="n">
        <f aca="false">V9+V10+V11</f>
        <v>977654.615179504</v>
      </c>
      <c r="W12" s="70" t="n">
        <f aca="false">W9+W10+W11</f>
        <v>1132504.42002888</v>
      </c>
      <c r="X12" s="70" t="n">
        <f aca="false">X9+X10+X11</f>
        <v>1158686.26753696</v>
      </c>
      <c r="Y12" s="70" t="n">
        <f aca="false">Y9+Y10+Y11</f>
        <v>1029487.35850514</v>
      </c>
      <c r="Z12" s="70" t="n">
        <f aca="false">Z9+Z10+Z11</f>
        <v>1129640.93191027</v>
      </c>
      <c r="AA12" s="70" t="n">
        <f aca="false">AA9+AA10+AA11</f>
        <v>1068085.45544238</v>
      </c>
      <c r="AB12" s="70" t="n">
        <f aca="false">AB9+AB10+AB11</f>
        <v>1085167.88968992</v>
      </c>
    </row>
    <row r="13" customFormat="false" ht="15" hidden="false" customHeight="false" outlineLevel="0" collapsed="false">
      <c r="A13" s="23" t="s">
        <v>1305</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row>
    <row r="14" customFormat="false" ht="15" hidden="false" customHeight="false" outlineLevel="0" collapsed="false">
      <c r="A14" s="29" t="s">
        <v>1306</v>
      </c>
      <c r="B14" s="60" t="s">
        <v>1307</v>
      </c>
      <c r="C14" s="61" t="n">
        <f aca="false">SUM(E14:P14)</f>
        <v>116884.65</v>
      </c>
      <c r="D14" s="61" t="n">
        <f aca="false">SUM(Q14:AB14)</f>
        <v>0</v>
      </c>
      <c r="E14" s="62" t="n">
        <f aca="false">IF(E$5="A",Inputs_Actuals!E117,0)</f>
        <v>0</v>
      </c>
      <c r="F14" s="62" t="n">
        <f aca="false">IF(F$5="A",Inputs_Actuals!F117,0)</f>
        <v>0</v>
      </c>
      <c r="G14" s="62" t="n">
        <f aca="false">IF(G$5="A",Inputs_Actuals!G117,0)</f>
        <v>0</v>
      </c>
      <c r="H14" s="62" t="n">
        <f aca="false">IF(H$5="A",Inputs_Actuals!H117,0)</f>
        <v>0</v>
      </c>
      <c r="I14" s="62" t="n">
        <f aca="false">IF(I$5="A",Inputs_Actuals!I117,0)</f>
        <v>0</v>
      </c>
      <c r="J14" s="62" t="n">
        <f aca="false">IF(J$5="A",Inputs_Actuals!J117,0)</f>
        <v>0</v>
      </c>
      <c r="K14" s="62" t="n">
        <f aca="false">IF(K$5="A",Inputs_Actuals!K117,0)</f>
        <v>116884.65</v>
      </c>
      <c r="L14" s="62" t="n">
        <f aca="false">IF(L$5="A",Inputs_Actuals!L117,0)</f>
        <v>0</v>
      </c>
      <c r="M14" s="62" t="n">
        <f aca="false">IF(M$5="A",Inputs_Actuals!M117,0)</f>
        <v>0</v>
      </c>
      <c r="N14" s="62" t="n">
        <f aca="false">IF(N$5="A",Inputs_Actuals!N117,0)</f>
        <v>0</v>
      </c>
      <c r="O14" s="62" t="n">
        <f aca="false">IF(O$5="A",Inputs_Actuals!O117,0)</f>
        <v>0</v>
      </c>
      <c r="P14" s="62" t="n">
        <f aca="false">IF(P$5="A",Inputs_Actuals!P117,0)</f>
        <v>0</v>
      </c>
      <c r="Q14" s="62" t="n">
        <f aca="false">IF(Q$5="A",Inputs_Actuals!Q117,0)</f>
        <v>0</v>
      </c>
      <c r="R14" s="62" t="n">
        <f aca="false">IF(R$5="A",Inputs_Actuals!R117,0)</f>
        <v>0</v>
      </c>
      <c r="S14" s="62" t="n">
        <f aca="false">IF(S$5="A",Inputs_Actuals!S117,0)</f>
        <v>0</v>
      </c>
      <c r="T14" s="62" t="n">
        <f aca="false">IF(T$5="A",Inputs_Actuals!T117,0)</f>
        <v>0</v>
      </c>
      <c r="U14" s="62" t="n">
        <f aca="false">IF(U$5="A",Inputs_Actuals!U117,0)</f>
        <v>0</v>
      </c>
      <c r="V14" s="62" t="n">
        <f aca="false">IF(V$5="A",Inputs_Actuals!V117,0)</f>
        <v>0</v>
      </c>
      <c r="W14" s="62" t="n">
        <f aca="false">IF(W$5="A",Inputs_Actuals!W117,0)</f>
        <v>0</v>
      </c>
      <c r="X14" s="62" t="n">
        <f aca="false">IF(X$5="A",Inputs_Actuals!X117,0)</f>
        <v>0</v>
      </c>
      <c r="Y14" s="62" t="n">
        <f aca="false">IF(Y$5="A",Inputs_Actuals!Y117,0)</f>
        <v>0</v>
      </c>
      <c r="Z14" s="62" t="n">
        <f aca="false">IF(Z$5="A",Inputs_Actuals!Z117,0)</f>
        <v>0</v>
      </c>
      <c r="AA14" s="62" t="n">
        <f aca="false">IF(AA$5="A",Inputs_Actuals!AA117,0)</f>
        <v>0</v>
      </c>
      <c r="AB14" s="62" t="n">
        <f aca="false">IF(AB$5="A",Inputs_Actuals!AB117,0)</f>
        <v>0</v>
      </c>
    </row>
    <row r="15" customFormat="false" ht="15" hidden="false" customHeight="false" outlineLevel="0" collapsed="false">
      <c r="A15" s="29" t="s">
        <v>1308</v>
      </c>
      <c r="B15" s="60" t="s">
        <v>1309</v>
      </c>
      <c r="C15" s="61" t="n">
        <f aca="false">P15</f>
        <v>116884.65</v>
      </c>
      <c r="D15" s="61" t="n">
        <f aca="false">AB15</f>
        <v>116884.65</v>
      </c>
      <c r="E15" s="71" t="n">
        <f aca="false">0+E14</f>
        <v>0</v>
      </c>
      <c r="F15" s="71" t="n">
        <f aca="false">E15+F14</f>
        <v>0</v>
      </c>
      <c r="G15" s="71" t="n">
        <f aca="false">F15+G14</f>
        <v>0</v>
      </c>
      <c r="H15" s="71" t="n">
        <f aca="false">G15+H14</f>
        <v>0</v>
      </c>
      <c r="I15" s="71" t="n">
        <f aca="false">H15+I14</f>
        <v>0</v>
      </c>
      <c r="J15" s="71" t="n">
        <f aca="false">I15+J14</f>
        <v>0</v>
      </c>
      <c r="K15" s="71" t="n">
        <f aca="false">J15+K14</f>
        <v>116884.65</v>
      </c>
      <c r="L15" s="71" t="n">
        <f aca="false">K15+L14</f>
        <v>116884.65</v>
      </c>
      <c r="M15" s="71" t="n">
        <f aca="false">L15+M14</f>
        <v>116884.65</v>
      </c>
      <c r="N15" s="71" t="n">
        <f aca="false">M15+N14</f>
        <v>116884.65</v>
      </c>
      <c r="O15" s="71" t="n">
        <f aca="false">N15+O14</f>
        <v>116884.65</v>
      </c>
      <c r="P15" s="71" t="n">
        <f aca="false">O15+P14</f>
        <v>116884.65</v>
      </c>
      <c r="Q15" s="71" t="n">
        <f aca="false">P15+Q14</f>
        <v>116884.65</v>
      </c>
      <c r="R15" s="71" t="n">
        <f aca="false">Q15+R14</f>
        <v>116884.65</v>
      </c>
      <c r="S15" s="71" t="n">
        <f aca="false">R15+S14</f>
        <v>116884.65</v>
      </c>
      <c r="T15" s="71" t="n">
        <f aca="false">S15+T14</f>
        <v>116884.65</v>
      </c>
      <c r="U15" s="71" t="n">
        <f aca="false">T15+U14</f>
        <v>116884.65</v>
      </c>
      <c r="V15" s="71" t="n">
        <f aca="false">U15+V14</f>
        <v>116884.65</v>
      </c>
      <c r="W15" s="71" t="n">
        <f aca="false">V15+W14</f>
        <v>116884.65</v>
      </c>
      <c r="X15" s="71" t="n">
        <f aca="false">W15+X14</f>
        <v>116884.65</v>
      </c>
      <c r="Y15" s="71" t="n">
        <f aca="false">X15+Y14</f>
        <v>116884.65</v>
      </c>
      <c r="Z15" s="71" t="n">
        <f aca="false">Y15+Z14</f>
        <v>116884.65</v>
      </c>
      <c r="AA15" s="71" t="n">
        <f aca="false">Z15+AA14</f>
        <v>116884.65</v>
      </c>
      <c r="AB15" s="71" t="n">
        <f aca="false">AA15+AB14</f>
        <v>116884.65</v>
      </c>
    </row>
    <row r="16" customFormat="false" ht="15" hidden="false" customHeight="false" outlineLevel="0" collapsed="false">
      <c r="A16" s="29" t="s">
        <v>1310</v>
      </c>
      <c r="B16" s="60" t="s">
        <v>1311</v>
      </c>
      <c r="C16" s="122" t="n">
        <f aca="false">AVERAGE(E16:P16)</f>
        <v>0.005</v>
      </c>
      <c r="D16" s="122" t="n">
        <f aca="false">AVERAGE(Q16:AB16)</f>
        <v>0.005</v>
      </c>
      <c r="E16" s="98" t="n">
        <f aca="false">IF(E$5="A",Assumptions!$C$156,Assumptions!$F$181)</f>
        <v>0.005</v>
      </c>
      <c r="F16" s="98" t="n">
        <f aca="false">IF(F$5="A",Assumptions!$C$156,Assumptions!$F$181)</f>
        <v>0.005</v>
      </c>
      <c r="G16" s="98" t="n">
        <f aca="false">IF(G$5="A",Assumptions!$C$156,Assumptions!$F$181)</f>
        <v>0.005</v>
      </c>
      <c r="H16" s="98" t="n">
        <f aca="false">IF(H$5="A",Assumptions!$C$156,Assumptions!$F$181)</f>
        <v>0.005</v>
      </c>
      <c r="I16" s="98" t="n">
        <f aca="false">IF(I$5="A",Assumptions!$C$156,Assumptions!$F$181)</f>
        <v>0.005</v>
      </c>
      <c r="J16" s="98" t="n">
        <f aca="false">IF(J$5="A",Assumptions!$C$156,Assumptions!$F$181)</f>
        <v>0.005</v>
      </c>
      <c r="K16" s="98" t="n">
        <f aca="false">IF(K$5="A",Assumptions!$C$156,Assumptions!$F$181)</f>
        <v>0.005</v>
      </c>
      <c r="L16" s="98" t="n">
        <f aca="false">IF(L$5="A",Assumptions!$C$156,Assumptions!$F$181)</f>
        <v>0.005</v>
      </c>
      <c r="M16" s="98" t="n">
        <f aca="false">IF(M$5="A",Assumptions!$C$156,Assumptions!$F$181)</f>
        <v>0.005</v>
      </c>
      <c r="N16" s="98" t="n">
        <f aca="false">IF(N$5="A",Assumptions!$C$156,Assumptions!$F$181)</f>
        <v>0.005</v>
      </c>
      <c r="O16" s="98" t="n">
        <f aca="false">IF(O$5="A",Assumptions!$C$156,Assumptions!$F$181)</f>
        <v>0.005</v>
      </c>
      <c r="P16" s="98" t="n">
        <f aca="false">IF(P$5="A",Assumptions!$C$156,Assumptions!$F$181)</f>
        <v>0.005</v>
      </c>
      <c r="Q16" s="98" t="n">
        <f aca="false">IF(Q$5="A",Assumptions!$C$156,Assumptions!$F$181)</f>
        <v>0.005</v>
      </c>
      <c r="R16" s="98" t="n">
        <f aca="false">IF(R$5="A",Assumptions!$C$156,Assumptions!$F$181)</f>
        <v>0.005</v>
      </c>
      <c r="S16" s="98" t="n">
        <f aca="false">IF(S$5="A",Assumptions!$C$156,Assumptions!$F$181)</f>
        <v>0.005</v>
      </c>
      <c r="T16" s="98" t="n">
        <f aca="false">IF(T$5="A",Assumptions!$C$156,Assumptions!$F$181)</f>
        <v>0.005</v>
      </c>
      <c r="U16" s="98" t="n">
        <f aca="false">IF(U$5="A",Assumptions!$C$156,Assumptions!$F$181)</f>
        <v>0.005</v>
      </c>
      <c r="V16" s="98" t="n">
        <f aca="false">IF(V$5="A",Assumptions!$C$156,Assumptions!$F$181)</f>
        <v>0.005</v>
      </c>
      <c r="W16" s="98" t="n">
        <f aca="false">IF(W$5="A",Assumptions!$C$156,Assumptions!$F$181)</f>
        <v>0.005</v>
      </c>
      <c r="X16" s="98" t="n">
        <f aca="false">IF(X$5="A",Assumptions!$C$156,Assumptions!$F$181)</f>
        <v>0.005</v>
      </c>
      <c r="Y16" s="98" t="n">
        <f aca="false">IF(Y$5="A",Assumptions!$C$156,Assumptions!$F$181)</f>
        <v>0.005</v>
      </c>
      <c r="Z16" s="98" t="n">
        <f aca="false">IF(Z$5="A",Assumptions!$C$156,Assumptions!$F$181)</f>
        <v>0.005</v>
      </c>
      <c r="AA16" s="98" t="n">
        <f aca="false">IF(AA$5="A",Assumptions!$C$156,Assumptions!$F$181)</f>
        <v>0.005</v>
      </c>
      <c r="AB16" s="98" t="n">
        <f aca="false">IF(AB$5="A",Assumptions!$C$156,Assumptions!$F$181)</f>
        <v>0.005</v>
      </c>
    </row>
    <row r="17" customFormat="false" ht="15" hidden="false" customHeight="false" outlineLevel="0" collapsed="false">
      <c r="A17" s="29" t="s">
        <v>1312</v>
      </c>
      <c r="B17" s="60" t="s">
        <v>1313</v>
      </c>
      <c r="C17" s="61" t="n">
        <f aca="false">P17</f>
        <v>1082523.84221462</v>
      </c>
      <c r="D17" s="61" t="n">
        <f aca="false">AB17</f>
        <v>962131.428489923</v>
      </c>
      <c r="E17" s="62" t="n">
        <f aca="false">E12-IF(Assumptions!E$186&gt;=Assumptions!$C$158,E11,0)</f>
        <v>748972.328</v>
      </c>
      <c r="F17" s="62" t="n">
        <f aca="false">F12-IF(Assumptions!F$186&gt;=Assumptions!$C$158,F11,0)</f>
        <v>729443.4038</v>
      </c>
      <c r="G17" s="62" t="n">
        <f aca="false">G12-IF(Assumptions!G$186&gt;=Assumptions!$C$158,G11,0)</f>
        <v>786275.1883</v>
      </c>
      <c r="H17" s="62" t="n">
        <f aca="false">H12-IF(Assumptions!H$186&gt;=Assumptions!$C$158,H11,0)</f>
        <v>947198.9338</v>
      </c>
      <c r="I17" s="62" t="n">
        <f aca="false">I12-IF(Assumptions!I$186&gt;=Assumptions!$C$158,I11,0)</f>
        <v>871241.2584</v>
      </c>
      <c r="J17" s="62" t="n">
        <f aca="false">J12-IF(Assumptions!J$186&gt;=Assumptions!$C$158,J11,0)</f>
        <v>1037812.152</v>
      </c>
      <c r="K17" s="62" t="n">
        <f aca="false">K12-IF(Assumptions!K$186&gt;=Assumptions!$C$158,K11,0)</f>
        <v>981366.0654</v>
      </c>
      <c r="L17" s="62" t="n">
        <f aca="false">L12-IF(Assumptions!L$186&gt;=Assumptions!$C$158,L11,0)</f>
        <v>975327.9631</v>
      </c>
      <c r="M17" s="62" t="n">
        <f aca="false">M12-IF(Assumptions!M$186&gt;=Assumptions!$C$158,M11,0)</f>
        <v>917238.681934</v>
      </c>
      <c r="N17" s="62" t="n">
        <f aca="false">N12-IF(Assumptions!N$186&gt;=Assumptions!$C$158,N11,0)</f>
        <v>1065221.81699965</v>
      </c>
      <c r="O17" s="62" t="n">
        <f aca="false">O12-IF(Assumptions!O$186&gt;=Assumptions!$C$158,O11,0)</f>
        <v>1034771.31624437</v>
      </c>
      <c r="P17" s="62" t="n">
        <f aca="false">P12-IF(Assumptions!P$186&gt;=Assumptions!$C$158,P11,0)</f>
        <v>1082523.84221462</v>
      </c>
      <c r="Q17" s="62" t="n">
        <f aca="false">Q12-IF(Assumptions!Q$186&gt;=Assumptions!$C$158,Q11,0)</f>
        <v>1078990.85021968</v>
      </c>
      <c r="R17" s="62" t="n">
        <f aca="false">R12-IF(Assumptions!R$186&gt;=Assumptions!$C$158,R11,0)</f>
        <v>1081189.82324027</v>
      </c>
      <c r="S17" s="62" t="n">
        <f aca="false">S12-IF(Assumptions!S$186&gt;=Assumptions!$C$158,S11,0)</f>
        <v>1040502.84477991</v>
      </c>
      <c r="T17" s="62" t="n">
        <f aca="false">T12-IF(Assumptions!T$186&gt;=Assumptions!$C$158,T11,0)</f>
        <v>1042737.10703963</v>
      </c>
      <c r="U17" s="62" t="n">
        <f aca="false">U12-IF(Assumptions!U$186&gt;=Assumptions!$C$158,U11,0)</f>
        <v>1104399.29752986</v>
      </c>
      <c r="V17" s="62" t="n">
        <f aca="false">V12-IF(Assumptions!V$186&gt;=Assumptions!$C$158,V11,0)</f>
        <v>854618.153979504</v>
      </c>
      <c r="W17" s="62" t="n">
        <f aca="false">W12-IF(Assumptions!W$186&gt;=Assumptions!$C$158,W11,0)</f>
        <v>1009467.95882888</v>
      </c>
      <c r="X17" s="62" t="n">
        <f aca="false">X12-IF(Assumptions!X$186&gt;=Assumptions!$C$158,X11,0)</f>
        <v>1035649.80633696</v>
      </c>
      <c r="Y17" s="62" t="n">
        <f aca="false">Y12-IF(Assumptions!Y$186&gt;=Assumptions!$C$158,Y11,0)</f>
        <v>906450.897305141</v>
      </c>
      <c r="Z17" s="62" t="n">
        <f aca="false">Z12-IF(Assumptions!Z$186&gt;=Assumptions!$C$158,Z11,0)</f>
        <v>1006604.47071027</v>
      </c>
      <c r="AA17" s="62" t="n">
        <f aca="false">AA12-IF(Assumptions!AA$186&gt;=Assumptions!$C$158,AA11,0)</f>
        <v>945048.994242378</v>
      </c>
      <c r="AB17" s="62" t="n">
        <f aca="false">AB12-IF(Assumptions!AB$186&gt;=Assumptions!$C$158,AB11,0)</f>
        <v>962131.428489923</v>
      </c>
    </row>
    <row r="18" customFormat="false" ht="15" hidden="false" customHeight="false" outlineLevel="0" collapsed="false">
      <c r="A18" s="29" t="s">
        <v>1314</v>
      </c>
      <c r="B18" s="60" t="s">
        <v>1315</v>
      </c>
      <c r="C18" s="61" t="n">
        <f aca="false">P18</f>
        <v>5412.61921107311</v>
      </c>
      <c r="D18" s="61" t="n">
        <f aca="false">AB18</f>
        <v>4810.65714244961</v>
      </c>
      <c r="E18" s="71" t="n">
        <f aca="false">E17*E16</f>
        <v>3744.86164</v>
      </c>
      <c r="F18" s="71" t="n">
        <f aca="false">F17*F16</f>
        <v>3647.217019</v>
      </c>
      <c r="G18" s="71" t="n">
        <f aca="false">G17*G16</f>
        <v>3931.3759415</v>
      </c>
      <c r="H18" s="71" t="n">
        <f aca="false">H17*H16</f>
        <v>4735.994669</v>
      </c>
      <c r="I18" s="71" t="n">
        <f aca="false">I17*I16</f>
        <v>4356.206292</v>
      </c>
      <c r="J18" s="71" t="n">
        <f aca="false">J17*J16</f>
        <v>5189.06076</v>
      </c>
      <c r="K18" s="71" t="n">
        <f aca="false">K17*K16</f>
        <v>4906.830327</v>
      </c>
      <c r="L18" s="71" t="n">
        <f aca="false">L17*L16</f>
        <v>4876.6398155</v>
      </c>
      <c r="M18" s="71" t="n">
        <f aca="false">M17*M16</f>
        <v>4586.19340967</v>
      </c>
      <c r="N18" s="71" t="n">
        <f aca="false">N17*N16</f>
        <v>5326.10908499826</v>
      </c>
      <c r="O18" s="71" t="n">
        <f aca="false">O17*O16</f>
        <v>5173.85658122184</v>
      </c>
      <c r="P18" s="71" t="n">
        <f aca="false">P17*P16</f>
        <v>5412.61921107311</v>
      </c>
      <c r="Q18" s="71" t="n">
        <f aca="false">Q17*Q16</f>
        <v>5394.95425109841</v>
      </c>
      <c r="R18" s="71" t="n">
        <f aca="false">R17*R16</f>
        <v>5405.94911620135</v>
      </c>
      <c r="S18" s="71" t="n">
        <f aca="false">S17*S16</f>
        <v>5202.51422389955</v>
      </c>
      <c r="T18" s="71" t="n">
        <f aca="false">T17*T16</f>
        <v>5213.68553519813</v>
      </c>
      <c r="U18" s="71" t="n">
        <f aca="false">U17*U16</f>
        <v>5521.9964876493</v>
      </c>
      <c r="V18" s="71" t="n">
        <f aca="false">V17*V16</f>
        <v>4273.09076989752</v>
      </c>
      <c r="W18" s="71" t="n">
        <f aca="false">W17*W16</f>
        <v>5047.33979414438</v>
      </c>
      <c r="X18" s="71" t="n">
        <f aca="false">X17*X16</f>
        <v>5178.24903168482</v>
      </c>
      <c r="Y18" s="71" t="n">
        <f aca="false">Y17*Y16</f>
        <v>4532.25448652571</v>
      </c>
      <c r="Z18" s="71" t="n">
        <f aca="false">Z17*Z16</f>
        <v>5033.02235355134</v>
      </c>
      <c r="AA18" s="71" t="n">
        <f aca="false">AA17*AA16</f>
        <v>4725.24497121189</v>
      </c>
      <c r="AB18" s="71" t="n">
        <f aca="false">AB17*AB16</f>
        <v>4810.65714244961</v>
      </c>
    </row>
    <row r="19" customFormat="false" ht="15" hidden="false" customHeight="false" outlineLevel="0" collapsed="false">
      <c r="A19" s="29" t="s">
        <v>1316</v>
      </c>
      <c r="B19" s="60" t="s">
        <v>1317</v>
      </c>
      <c r="C19" s="61" t="n">
        <f aca="false">SUM(E19:P19)</f>
        <v>624.759211073112</v>
      </c>
      <c r="D19" s="61" t="n">
        <f aca="false">SUM(Q19:AB19)</f>
        <v>-601.962068623498</v>
      </c>
      <c r="E19" s="62" t="n">
        <f aca="false">E18-Inputs_Actuals!$C$211</f>
        <v>-1042.99836</v>
      </c>
      <c r="F19" s="71" t="n">
        <f aca="false">F18-E18</f>
        <v>-97.6446209999995</v>
      </c>
      <c r="G19" s="71" t="n">
        <f aca="false">G18-F18</f>
        <v>284.1589225</v>
      </c>
      <c r="H19" s="71" t="n">
        <f aca="false">H18-G18</f>
        <v>804.6187275</v>
      </c>
      <c r="I19" s="71" t="n">
        <f aca="false">I18-H18</f>
        <v>-379.788377</v>
      </c>
      <c r="J19" s="71" t="n">
        <f aca="false">J18-I18</f>
        <v>832.854468</v>
      </c>
      <c r="K19" s="71" t="n">
        <f aca="false">K18-J18</f>
        <v>-282.230432999999</v>
      </c>
      <c r="L19" s="71" t="n">
        <f aca="false">L18-K18</f>
        <v>-30.1905115000009</v>
      </c>
      <c r="M19" s="71" t="n">
        <f aca="false">M18-L18</f>
        <v>-290.446405830001</v>
      </c>
      <c r="N19" s="71" t="n">
        <f aca="false">N18-M18</f>
        <v>739.915675328262</v>
      </c>
      <c r="O19" s="71" t="n">
        <f aca="false">O18-N18</f>
        <v>-152.252503776424</v>
      </c>
      <c r="P19" s="71" t="n">
        <f aca="false">P18-O18</f>
        <v>238.762629851273</v>
      </c>
      <c r="Q19" s="71" t="n">
        <f aca="false">Q18-P18</f>
        <v>-17.6649599747016</v>
      </c>
      <c r="R19" s="71" t="n">
        <f aca="false">R18-Q18</f>
        <v>10.9948651029345</v>
      </c>
      <c r="S19" s="71" t="n">
        <f aca="false">S18-R18</f>
        <v>-203.434892301798</v>
      </c>
      <c r="T19" s="71" t="n">
        <f aca="false">T18-S18</f>
        <v>11.1713112985854</v>
      </c>
      <c r="U19" s="71" t="n">
        <f aca="false">U18-T18</f>
        <v>308.310952451163</v>
      </c>
      <c r="V19" s="71" t="n">
        <f aca="false">V18-U18</f>
        <v>-1248.90571775177</v>
      </c>
      <c r="W19" s="71" t="n">
        <f aca="false">W18-V18</f>
        <v>774.249024246861</v>
      </c>
      <c r="X19" s="71" t="n">
        <f aca="false">X18-W18</f>
        <v>130.909237540434</v>
      </c>
      <c r="Y19" s="71" t="n">
        <f aca="false">Y18-X18</f>
        <v>-645.99454515911</v>
      </c>
      <c r="Z19" s="71" t="n">
        <f aca="false">Z18-Y18</f>
        <v>500.767867025634</v>
      </c>
      <c r="AA19" s="71" t="n">
        <f aca="false">AA18-Z18</f>
        <v>-307.777382339449</v>
      </c>
      <c r="AB19" s="71" t="n">
        <f aca="false">AB18-AA18</f>
        <v>85.4121712377228</v>
      </c>
    </row>
    <row r="20" customFormat="false" ht="15" hidden="false" customHeight="false" outlineLevel="0" collapsed="false">
      <c r="A20" s="68" t="s">
        <v>1318</v>
      </c>
      <c r="B20" s="69"/>
      <c r="C20" s="70" t="n">
        <f aca="false">SUM(E20:P20)</f>
        <v>117509.409211073</v>
      </c>
      <c r="D20" s="70" t="n">
        <f aca="false">SUM(Q20:AB20)</f>
        <v>-601.962068623498</v>
      </c>
      <c r="E20" s="70" t="n">
        <f aca="false">E14+E19</f>
        <v>-1042.99836</v>
      </c>
      <c r="F20" s="70" t="n">
        <f aca="false">F14+F19</f>
        <v>-97.6446209999995</v>
      </c>
      <c r="G20" s="70" t="n">
        <f aca="false">G14+G19</f>
        <v>284.1589225</v>
      </c>
      <c r="H20" s="70" t="n">
        <f aca="false">H14+H19</f>
        <v>804.6187275</v>
      </c>
      <c r="I20" s="70" t="n">
        <f aca="false">I14+I19</f>
        <v>-379.788377</v>
      </c>
      <c r="J20" s="70" t="n">
        <f aca="false">J14+J19</f>
        <v>832.854468</v>
      </c>
      <c r="K20" s="70" t="n">
        <f aca="false">K14+K19</f>
        <v>116602.419567</v>
      </c>
      <c r="L20" s="70" t="n">
        <f aca="false">L14+L19</f>
        <v>-30.1905115000009</v>
      </c>
      <c r="M20" s="70" t="n">
        <f aca="false">M14+M19</f>
        <v>-290.446405830001</v>
      </c>
      <c r="N20" s="70" t="n">
        <f aca="false">N14+N19</f>
        <v>739.915675328262</v>
      </c>
      <c r="O20" s="70" t="n">
        <f aca="false">O14+O19</f>
        <v>-152.252503776424</v>
      </c>
      <c r="P20" s="70" t="n">
        <f aca="false">P14+P19</f>
        <v>238.762629851273</v>
      </c>
      <c r="Q20" s="70" t="n">
        <f aca="false">Q14+Q19</f>
        <v>-17.6649599747016</v>
      </c>
      <c r="R20" s="70" t="n">
        <f aca="false">R14+R19</f>
        <v>10.9948651029345</v>
      </c>
      <c r="S20" s="70" t="n">
        <f aca="false">S14+S19</f>
        <v>-203.434892301798</v>
      </c>
      <c r="T20" s="70" t="n">
        <f aca="false">T14+T19</f>
        <v>11.1713112985854</v>
      </c>
      <c r="U20" s="70" t="n">
        <f aca="false">U14+U19</f>
        <v>308.310952451163</v>
      </c>
      <c r="V20" s="70" t="n">
        <f aca="false">V14+V19</f>
        <v>-1248.90571775177</v>
      </c>
      <c r="W20" s="70" t="n">
        <f aca="false">W14+W19</f>
        <v>774.249024246861</v>
      </c>
      <c r="X20" s="70" t="n">
        <f aca="false">X14+X19</f>
        <v>130.909237540434</v>
      </c>
      <c r="Y20" s="70" t="n">
        <f aca="false">Y14+Y19</f>
        <v>-645.99454515911</v>
      </c>
      <c r="Z20" s="70" t="n">
        <f aca="false">Z14+Z19</f>
        <v>500.767867025634</v>
      </c>
      <c r="AA20" s="70" t="n">
        <f aca="false">AA14+AA19</f>
        <v>-307.777382339449</v>
      </c>
      <c r="AB20" s="70" t="n">
        <f aca="false">AB14+AB19</f>
        <v>85.4121712377228</v>
      </c>
    </row>
    <row r="21" customFormat="false" ht="15" hidden="false" customHeight="false" outlineLevel="0" collapsed="false">
      <c r="A21" s="68" t="s">
        <v>1319</v>
      </c>
      <c r="B21" s="69"/>
      <c r="C21" s="70" t="n">
        <f aca="false">P21</f>
        <v>1083263.03420355</v>
      </c>
      <c r="D21" s="70" t="n">
        <f aca="false">AB21</f>
        <v>963472.582547473</v>
      </c>
      <c r="E21" s="70" t="n">
        <f aca="false">E12-E15-E18</f>
        <v>745227.46636</v>
      </c>
      <c r="F21" s="70" t="n">
        <f aca="false">F12-F15-F18</f>
        <v>725796.186781</v>
      </c>
      <c r="G21" s="70" t="n">
        <f aca="false">G12-G15-G18</f>
        <v>782343.8123585</v>
      </c>
      <c r="H21" s="70" t="n">
        <f aca="false">H12-H15-H18</f>
        <v>942462.939131</v>
      </c>
      <c r="I21" s="70" t="n">
        <f aca="false">I12-I15-I18</f>
        <v>866885.052108</v>
      </c>
      <c r="J21" s="70" t="n">
        <f aca="false">J12-J15-J18</f>
        <v>1032623.09124</v>
      </c>
      <c r="K21" s="70" t="n">
        <f aca="false">K12-K15-K18</f>
        <v>982611.046273</v>
      </c>
      <c r="L21" s="70" t="n">
        <f aca="false">L12-L15-L18</f>
        <v>976603.1344845</v>
      </c>
      <c r="M21" s="70" t="n">
        <f aca="false">M12-M15-M18</f>
        <v>918804.29972433</v>
      </c>
      <c r="N21" s="70" t="n">
        <f aca="false">N12-N15-N18</f>
        <v>1066047.51911465</v>
      </c>
      <c r="O21" s="70" t="n">
        <f aca="false">O12-O15-O18</f>
        <v>1035749.27086315</v>
      </c>
      <c r="P21" s="70" t="n">
        <f aca="false">P12-P15-P18</f>
        <v>1083263.03420355</v>
      </c>
      <c r="Q21" s="70" t="n">
        <f aca="false">Q12-Q15-Q18</f>
        <v>1079747.70716858</v>
      </c>
      <c r="R21" s="70" t="n">
        <f aca="false">R12-R15-R18</f>
        <v>1081935.68532407</v>
      </c>
      <c r="S21" s="70" t="n">
        <f aca="false">S12-S15-S18</f>
        <v>1041452.14175601</v>
      </c>
      <c r="T21" s="70" t="n">
        <f aca="false">T12-T15-T18</f>
        <v>1043675.23270443</v>
      </c>
      <c r="U21" s="70" t="n">
        <f aca="false">U12-U15-U18</f>
        <v>1105029.11224221</v>
      </c>
      <c r="V21" s="70" t="n">
        <f aca="false">V12-V15-V18</f>
        <v>856496.874409607</v>
      </c>
      <c r="W21" s="70" t="n">
        <f aca="false">W12-W15-W18</f>
        <v>1010572.43023473</v>
      </c>
      <c r="X21" s="70" t="n">
        <f aca="false">X12-X15-X18</f>
        <v>1036623.36850528</v>
      </c>
      <c r="Y21" s="70" t="n">
        <f aca="false">Y12-Y15-Y18</f>
        <v>908070.454018616</v>
      </c>
      <c r="Z21" s="70" t="n">
        <f aca="false">Z12-Z15-Z18</f>
        <v>1007723.25955672</v>
      </c>
      <c r="AA21" s="70" t="n">
        <f aca="false">AA12-AA15-AA18</f>
        <v>946475.560471166</v>
      </c>
      <c r="AB21" s="70" t="n">
        <f aca="false">AB12-AB15-AB18</f>
        <v>963472.582547473</v>
      </c>
    </row>
    <row r="22" customFormat="false" ht="15" hidden="false" customHeight="false" outlineLevel="0" collapsed="false">
      <c r="A22" s="23" t="s">
        <v>1320</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row>
    <row r="23" customFormat="false" ht="15" hidden="false" customHeight="false" outlineLevel="0" collapsed="false">
      <c r="A23" s="29" t="s">
        <v>719</v>
      </c>
      <c r="B23" s="60" t="s">
        <v>54</v>
      </c>
      <c r="C23" s="61" t="n">
        <f aca="false">SUM(E23:P23)</f>
        <v>8591139.17745023</v>
      </c>
      <c r="D23" s="61" t="n">
        <f aca="false">SUM(Q23:AB23)</f>
        <v>9508258.73772844</v>
      </c>
      <c r="E23" s="62" t="n">
        <f aca="false">Clients!E213</f>
        <v>527612.918</v>
      </c>
      <c r="F23" s="62" t="n">
        <f aca="false">Clients!F213</f>
        <v>586360.3858</v>
      </c>
      <c r="G23" s="62" t="n">
        <f aca="false">Clients!G213</f>
        <v>614792.8045</v>
      </c>
      <c r="H23" s="62" t="n">
        <f aca="false">Clients!H213</f>
        <v>784999.8755</v>
      </c>
      <c r="I23" s="62" t="n">
        <f aca="false">Clients!I213</f>
        <v>628833.6246</v>
      </c>
      <c r="J23" s="62" t="n">
        <f aca="false">Clients!J213</f>
        <v>808468.5436</v>
      </c>
      <c r="K23" s="62" t="n">
        <f aca="false">Clients!K213</f>
        <v>829091.7946</v>
      </c>
      <c r="L23" s="62" t="n">
        <f aca="false">Clients!L213</f>
        <v>733153.3777</v>
      </c>
      <c r="M23" s="62" t="n">
        <f aca="false">Clients!M213</f>
        <v>623532.187734</v>
      </c>
      <c r="N23" s="62" t="n">
        <f aca="false">Clients!N213</f>
        <v>824756.903954652</v>
      </c>
      <c r="O23" s="62" t="n">
        <f aca="false">Clients!O213</f>
        <v>762534.404956362</v>
      </c>
      <c r="P23" s="62" t="n">
        <f aca="false">Clients!P213</f>
        <v>867002.356505211</v>
      </c>
      <c r="Q23" s="62" t="n">
        <f aca="false">Clients!Q213</f>
        <v>860943.561924155</v>
      </c>
      <c r="R23" s="62" t="n">
        <f aca="false">Clients!R213</f>
        <v>857658.072361458</v>
      </c>
      <c r="S23" s="62" t="n">
        <f aca="false">Clients!S213</f>
        <v>796481.079188376</v>
      </c>
      <c r="T23" s="62" t="n">
        <f aca="false">Clients!T213</f>
        <v>811963.213353438</v>
      </c>
      <c r="U23" s="62" t="n">
        <f aca="false">Clients!U213</f>
        <v>856341.322533133</v>
      </c>
      <c r="V23" s="62" t="n">
        <f aca="false">Clients!V213</f>
        <v>619059.098515524</v>
      </c>
      <c r="W23" s="62" t="n">
        <f aca="false">Clients!W213</f>
        <v>845770.386644674</v>
      </c>
      <c r="X23" s="62" t="n">
        <f aca="false">Clients!X213</f>
        <v>784013.305513942</v>
      </c>
      <c r="Y23" s="62" t="n">
        <f aca="false">Clients!Y213</f>
        <v>700306.827965154</v>
      </c>
      <c r="Z23" s="62" t="n">
        <f aca="false">Clients!Z213</f>
        <v>817662.492973746</v>
      </c>
      <c r="AA23" s="62" t="n">
        <f aca="false">Clients!AA213</f>
        <v>759024.03511409</v>
      </c>
      <c r="AB23" s="62" t="n">
        <f aca="false">Clients!AB213</f>
        <v>799035.341640753</v>
      </c>
    </row>
    <row r="24" customFormat="false" ht="15" hidden="false" customHeight="false" outlineLevel="0" collapsed="false">
      <c r="A24" s="29" t="s">
        <v>720</v>
      </c>
      <c r="B24" s="60" t="s">
        <v>54</v>
      </c>
      <c r="C24" s="61" t="n">
        <f aca="false">SUM(E24:P24)</f>
        <v>8319774.8840356</v>
      </c>
      <c r="D24" s="61" t="n">
        <f aca="false">SUM(Q24:AB24)</f>
        <v>9628651.15145314</v>
      </c>
      <c r="E24" s="62" t="n">
        <f aca="false">Clients!E214</f>
        <v>736213.53</v>
      </c>
      <c r="F24" s="62" t="n">
        <f aca="false">Clients!F214</f>
        <v>605889.31</v>
      </c>
      <c r="G24" s="62" t="n">
        <f aca="false">Clients!G214</f>
        <v>557961.02</v>
      </c>
      <c r="H24" s="62" t="n">
        <f aca="false">Clients!H214</f>
        <v>624076.13</v>
      </c>
      <c r="I24" s="62" t="n">
        <f aca="false">Clients!I214</f>
        <v>704791.3</v>
      </c>
      <c r="J24" s="62" t="n">
        <f aca="false">Clients!J214</f>
        <v>641897.65</v>
      </c>
      <c r="K24" s="62" t="n">
        <f aca="false">Clients!K214</f>
        <v>739124.49</v>
      </c>
      <c r="L24" s="62" t="n">
        <f aca="false">Clients!L214</f>
        <v>739191.48</v>
      </c>
      <c r="M24" s="62" t="n">
        <f aca="false">Clients!M214</f>
        <v>681621.4689</v>
      </c>
      <c r="N24" s="62" t="n">
        <f aca="false">Clients!N214</f>
        <v>676773.768889</v>
      </c>
      <c r="O24" s="62" t="n">
        <f aca="false">Clients!O214</f>
        <v>792984.905711647</v>
      </c>
      <c r="P24" s="62" t="n">
        <f aca="false">Clients!P214</f>
        <v>819249.830534956</v>
      </c>
      <c r="Q24" s="62" t="n">
        <f aca="false">Clients!Q214</f>
        <v>864476.553919096</v>
      </c>
      <c r="R24" s="62" t="n">
        <f aca="false">Clients!R214</f>
        <v>855459.099340871</v>
      </c>
      <c r="S24" s="62" t="n">
        <f aca="false">Clients!S214</f>
        <v>837168.057648736</v>
      </c>
      <c r="T24" s="62" t="n">
        <f aca="false">Clients!T214</f>
        <v>809728.951093721</v>
      </c>
      <c r="U24" s="62" t="n">
        <f aca="false">Clients!U214</f>
        <v>794679.1320429</v>
      </c>
      <c r="V24" s="62" t="n">
        <f aca="false">Clients!V214</f>
        <v>868840.242065879</v>
      </c>
      <c r="W24" s="62" t="n">
        <f aca="false">Clients!W214</f>
        <v>690920.581795302</v>
      </c>
      <c r="X24" s="62" t="n">
        <f aca="false">Clients!X214</f>
        <v>757831.458005854</v>
      </c>
      <c r="Y24" s="62" t="n">
        <f aca="false">Clients!Y214</f>
        <v>829505.736996976</v>
      </c>
      <c r="Z24" s="62" t="n">
        <f aca="false">Clients!Z214</f>
        <v>717508.91956862</v>
      </c>
      <c r="AA24" s="62" t="n">
        <f aca="false">Clients!AA214</f>
        <v>820579.51158198</v>
      </c>
      <c r="AB24" s="62" t="n">
        <f aca="false">Clients!AB214</f>
        <v>781952.907393209</v>
      </c>
    </row>
    <row r="25" customFormat="false" ht="15" hidden="false" customHeight="false" outlineLevel="0" collapsed="false">
      <c r="A25" s="29" t="s">
        <v>1321</v>
      </c>
      <c r="B25" s="60"/>
      <c r="C25" s="66" t="n">
        <f aca="false">P25</f>
        <v>45.1908218959346</v>
      </c>
      <c r="D25" s="66" t="n">
        <f aca="false">AB25</f>
        <v>42.0232044514868</v>
      </c>
      <c r="E25" s="67" t="n">
        <f aca="false">IFERROR(E12/SUM(E23:E23)*SUM(Assumptions!E$191:E$191),0)</f>
        <v>44.0060153493058</v>
      </c>
      <c r="F25" s="67" t="n">
        <f aca="false">IFERROR(F12/SUM(E23:F23)*SUM(Assumptions!E$191:F$191),0)</f>
        <v>38.6339247784405</v>
      </c>
      <c r="G25" s="67" t="n">
        <f aca="false">IFERROR(G12/SUM(E23:G23)*SUM(Assumptions!E$191:G$191),0)</f>
        <v>40.9336847866524</v>
      </c>
      <c r="H25" s="67" t="n">
        <f aca="false">IFERROR(H12/SUM(F23:H23)*SUM(Assumptions!F$191:H$191),0)</f>
        <v>42.4442136710368</v>
      </c>
      <c r="I25" s="67" t="n">
        <f aca="false">IFERROR(I12/SUM(G23:I23)*SUM(Assumptions!G$191:I$191),0)</f>
        <v>39.5115628694387</v>
      </c>
      <c r="J25" s="67" t="n">
        <f aca="false">IFERROR(J12/SUM(H23:J23)*SUM(Assumptions!H$191:J$191),0)</f>
        <v>42.4968811506655</v>
      </c>
      <c r="K25" s="67" t="n">
        <f aca="false">IFERROR(K12/SUM(I23:K23)*SUM(Assumptions!I$191:K$191),0)</f>
        <v>44.8311432676395</v>
      </c>
      <c r="L25" s="67" t="n">
        <f aca="false">IFERROR(L12/SUM(J23:L23)*SUM(Assumptions!J$191:L$191),0)</f>
        <v>42.6240951650454</v>
      </c>
      <c r="M25" s="67" t="n">
        <f aca="false">IFERROR(M12/SUM(K23:M23)*SUM(Assumptions!K$191:M$191),0)</f>
        <v>43.7854810459009</v>
      </c>
      <c r="N25" s="67" t="n">
        <f aca="false">IFERROR(N12/SUM(L23:N23)*SUM(Assumptions!L$191:N$191),0)</f>
        <v>50.113520355641</v>
      </c>
      <c r="O25" s="67" t="n">
        <f aca="false">IFERROR(O12/SUM(M23:O23)*SUM(Assumptions!M$191:O$191),0)</f>
        <v>47.6566799237139</v>
      </c>
      <c r="P25" s="67" t="n">
        <f aca="false">IFERROR(P12/SUM(N23:P23)*SUM(Assumptions!N$191:P$191),0)</f>
        <v>45.1908218959346</v>
      </c>
      <c r="Q25" s="67" t="n">
        <f aca="false">IFERROR(Q12/SUM(O23:Q23)*SUM(Assumptions!O$191:Q$191),0)</f>
        <v>44.4036885624826</v>
      </c>
      <c r="R25" s="67" t="n">
        <f aca="false">IFERROR(R12/SUM(P23:R23)*SUM(Assumptions!P$191:R$191),0)</f>
        <v>41.9168465030391</v>
      </c>
      <c r="S25" s="67" t="n">
        <f aca="false">IFERROR(S12/SUM(Q23:S23)*SUM(Assumptions!Q$191:S$191),0)</f>
        <v>41.6362201438489</v>
      </c>
      <c r="T25" s="67" t="n">
        <f aca="false">IFERROR(T12/SUM(R23:T23)*SUM(Assumptions!R$191:T$191),0)</f>
        <v>42.071995489691</v>
      </c>
      <c r="U25" s="67" t="n">
        <f aca="false">IFERROR(U12/SUM(S23:U23)*SUM(Assumptions!S$191:U$191),0)</f>
        <v>45.8149743784972</v>
      </c>
      <c r="V25" s="67" t="n">
        <f aca="false">IFERROR(V12/SUM(T23:V23)*SUM(Assumptions!T$191:V$191),0)</f>
        <v>38.8948082601612</v>
      </c>
      <c r="W25" s="67" t="n">
        <f aca="false">IFERROR(W12/SUM(U23:W23)*SUM(Assumptions!U$191:W$191),0)</f>
        <v>44.8870054273154</v>
      </c>
      <c r="X25" s="67" t="n">
        <f aca="false">IFERROR(X12/SUM(V23:X23)*SUM(Assumptions!V$191:X$191),0)</f>
        <v>47.4017735056728</v>
      </c>
      <c r="Y25" s="67" t="n">
        <f aca="false">IFERROR(Y12/SUM(W23:Y23)*SUM(Assumptions!W$191:Y$191),0)</f>
        <v>40.6477071017147</v>
      </c>
      <c r="Z25" s="67" t="n">
        <f aca="false">IFERROR(Z12/SUM(X23:Z23)*SUM(Assumptions!X$191:Z$191),0)</f>
        <v>45.1467202842826</v>
      </c>
      <c r="AA25" s="67" t="n">
        <f aca="false">IFERROR(AA12/SUM(Y23:AA23)*SUM(Assumptions!Y$191:AA$191),0)</f>
        <v>42.6860167100964</v>
      </c>
      <c r="AB25" s="67" t="n">
        <f aca="false">IFERROR(AB12/SUM(Z23:AB23)*SUM(Assumptions!Z$191:AB$191),0)</f>
        <v>42.0232044514868</v>
      </c>
    </row>
    <row r="26" customFormat="false" ht="15" hidden="false" customHeight="false" outlineLevel="0" collapsed="false">
      <c r="A26" s="29" t="s">
        <v>1322</v>
      </c>
      <c r="B26" s="60"/>
      <c r="C26" s="66" t="n">
        <f aca="false">P26</f>
        <v>40.5787599451166</v>
      </c>
      <c r="D26" s="66" t="n">
        <f aca="false">AB26</f>
        <v>37.2586086565702</v>
      </c>
      <c r="E26" s="67" t="n">
        <f aca="false">IFERROR((E9+E10)/SUM(E23:E23)*SUM(Assumptions!E$191:E$191),0)</f>
        <v>41.8863155403257</v>
      </c>
      <c r="F26" s="67" t="n">
        <f aca="false">IFERROR((F9+F10)/SUM(E23:F23)*SUM(Assumptions!E$191:F$191),0)</f>
        <v>35.5039197740064</v>
      </c>
      <c r="G26" s="67" t="n">
        <f aca="false">IFERROR((G9+G10)/SUM(E23:G23)*SUM(Assumptions!E$191:G$191),0)</f>
        <v>37.7567999295096</v>
      </c>
      <c r="H26" s="67" t="n">
        <f aca="false">IFERROR((H9+H10)/SUM(F23:H23)*SUM(Assumptions!F$191:H$191),0)</f>
        <v>39.615020897399</v>
      </c>
      <c r="I26" s="67" t="n">
        <f aca="false">IFERROR((I9+I10)/SUM(G23:I23)*SUM(Assumptions!G$191:I$191),0)</f>
        <v>36.2474220704236</v>
      </c>
      <c r="J26" s="67" t="n">
        <f aca="false">IFERROR((J9+J10)/SUM(H23:J23)*SUM(Assumptions!H$191:J$191),0)</f>
        <v>38.1713127248743</v>
      </c>
      <c r="K26" s="67" t="n">
        <f aca="false">IFERROR((K9+K10)/SUM(I23:K23)*SUM(Assumptions!I$191:K$191),0)</f>
        <v>39.8367095477334</v>
      </c>
      <c r="L26" s="67" t="n">
        <f aca="false">IFERROR((L9+L10)/SUM(J23:L23)*SUM(Assumptions!J$191:L$191),0)</f>
        <v>37.8494341190984</v>
      </c>
      <c r="M26" s="67" t="n">
        <f aca="false">IFERROR((M9+M10)/SUM(K23:M23)*SUM(Assumptions!K$191:M$191),0)</f>
        <v>38.6068408799949</v>
      </c>
      <c r="N26" s="67" t="n">
        <f aca="false">IFERROR((N9+N10)/SUM(L23:N23)*SUM(Assumptions!L$191:N$191),0)</f>
        <v>44.9245893665179</v>
      </c>
      <c r="O26" s="67" t="n">
        <f aca="false">IFERROR((O9+O10)/SUM(M23:O23)*SUM(Assumptions!M$191:O$191),0)</f>
        <v>42.5923597795727</v>
      </c>
      <c r="P26" s="67" t="n">
        <f aca="false">IFERROR((P9+P10)/SUM(N23:P23)*SUM(Assumptions!N$191:P$191),0)</f>
        <v>40.5787599451166</v>
      </c>
      <c r="Q26" s="67" t="n">
        <f aca="false">IFERROR((Q9+Q10)/SUM(O23:Q23)*SUM(Assumptions!O$191:Q$191),0)</f>
        <v>39.858639832681</v>
      </c>
      <c r="R26" s="67" t="n">
        <f aca="false">IFERROR((R9+R10)/SUM(P23:R23)*SUM(Assumptions!P$191:R$191),0)</f>
        <v>37.6341792626419</v>
      </c>
      <c r="S26" s="67" t="n">
        <f aca="false">IFERROR((S9+S10)/SUM(Q23:S23)*SUM(Assumptions!Q$191:S$191),0)</f>
        <v>37.2334697099656</v>
      </c>
      <c r="T26" s="67" t="n">
        <f aca="false">IFERROR((T9+T10)/SUM(R23:T23)*SUM(Assumptions!R$191:T$191),0)</f>
        <v>37.631691144405</v>
      </c>
      <c r="U26" s="67" t="n">
        <f aca="false">IFERROR((U9+U10)/SUM(S23:U23)*SUM(Assumptions!S$191:U$191),0)</f>
        <v>41.2225447727865</v>
      </c>
      <c r="V26" s="67" t="n">
        <f aca="false">IFERROR((V9+V10)/SUM(T23:V23)*SUM(Assumptions!T$191:V$191),0)</f>
        <v>33.9999512287707</v>
      </c>
      <c r="W26" s="67" t="n">
        <f aca="false">IFERROR((W9+W10)/SUM(U23:W23)*SUM(Assumptions!U$191:W$191),0)</f>
        <v>40.0104343482363</v>
      </c>
      <c r="X26" s="67" t="n">
        <f aca="false">IFERROR((X9+X10)/SUM(V23:X23)*SUM(Assumptions!V$191:X$191),0)</f>
        <v>42.368360553313</v>
      </c>
      <c r="Y26" s="67" t="n">
        <f aca="false">IFERROR((Y9+Y10)/SUM(W23:Y23)*SUM(Assumptions!W$191:Y$191),0)</f>
        <v>35.7898038002589</v>
      </c>
      <c r="Z26" s="67" t="n">
        <f aca="false">IFERROR((Z9+Z10)/SUM(X23:Z23)*SUM(Assumptions!X$191:Z$191),0)</f>
        <v>40.2295005362595</v>
      </c>
      <c r="AA26" s="67" t="n">
        <f aca="false">IFERROR((AA9+AA10)/SUM(Y23:AA23)*SUM(Assumptions!Y$191:AA$191),0)</f>
        <v>37.7688666712364</v>
      </c>
      <c r="AB26" s="67" t="n">
        <f aca="false">IFERROR((AB9+AB10)/SUM(Z23:AB23)*SUM(Assumptions!Z$191:AB$191),0)</f>
        <v>37.2586086565702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1323</v>
      </c>
    </row>
    <row r="3" customFormat="false" ht="15" hidden="false" customHeight="false" outlineLevel="0" collapsed="false">
      <c r="A3" s="26" t="s">
        <v>1324</v>
      </c>
    </row>
    <row r="4" customFormat="false" ht="15" hidden="false" customHeight="false" outlineLevel="0" collapsed="false">
      <c r="A4" s="0" t="s">
        <v>1325</v>
      </c>
      <c r="B4" s="123" t="n">
        <f aca="false">Assumptions!$C$15</f>
        <v>46265</v>
      </c>
    </row>
    <row r="6" customFormat="false" ht="30" hidden="false" customHeight="true" outlineLevel="0" collapsed="false">
      <c r="A6" s="27" t="s">
        <v>1326</v>
      </c>
      <c r="B6" s="28" t="s">
        <v>1327</v>
      </c>
      <c r="C6" s="28" t="s">
        <v>1328</v>
      </c>
      <c r="D6" s="28" t="s">
        <v>1329</v>
      </c>
      <c r="E6" s="28" t="s">
        <v>1330</v>
      </c>
      <c r="F6" s="28" t="s">
        <v>1331</v>
      </c>
      <c r="G6" s="28" t="s">
        <v>1332</v>
      </c>
      <c r="H6" s="28" t="s">
        <v>1333</v>
      </c>
      <c r="I6" s="28" t="s">
        <v>1334</v>
      </c>
      <c r="J6" s="28" t="s">
        <v>1335</v>
      </c>
      <c r="K6" s="28" t="s">
        <v>1336</v>
      </c>
      <c r="L6" s="28" t="s">
        <v>1337</v>
      </c>
    </row>
    <row r="7" customFormat="false" ht="15" hidden="false" customHeight="false" outlineLevel="0" collapsed="false">
      <c r="A7" s="16" t="s">
        <v>1264</v>
      </c>
      <c r="B7" s="16" t="s">
        <v>1338</v>
      </c>
      <c r="C7" s="16" t="s">
        <v>1339</v>
      </c>
      <c r="D7" s="105" t="n">
        <v>135257.48</v>
      </c>
      <c r="E7" s="124" t="n">
        <v>46282</v>
      </c>
      <c r="F7" s="125" t="n">
        <f aca="false">MAX(0,$B$4-E7)</f>
        <v>0</v>
      </c>
      <c r="G7" s="30" t="n">
        <f aca="false">IF(E7&gt;=$B$4,D7,0)</f>
        <v>135257.48</v>
      </c>
      <c r="H7" s="30" t="n">
        <f aca="false">IF(AND(F7&gt;=1,F7&lt;=30),D7,0)</f>
        <v>0</v>
      </c>
      <c r="I7" s="30" t="n">
        <f aca="false">IF(AND(F7&gt;30,F7&lt;=60),D7,0)</f>
        <v>0</v>
      </c>
      <c r="J7" s="30" t="n">
        <f aca="false">IF(AND(F7&gt;60,F7&lt;=90),D7,0)</f>
        <v>0</v>
      </c>
      <c r="K7" s="30" t="n">
        <f aca="false">IF(F7&gt;90,D7,0)</f>
        <v>0</v>
      </c>
      <c r="L7" s="48" t="s">
        <v>1340</v>
      </c>
    </row>
    <row r="8" customFormat="false" ht="15" hidden="false" customHeight="false" outlineLevel="0" collapsed="false">
      <c r="A8" s="16" t="s">
        <v>1264</v>
      </c>
      <c r="B8" s="16" t="s">
        <v>1341</v>
      </c>
      <c r="C8" s="16" t="s">
        <v>1339</v>
      </c>
      <c r="D8" s="105" t="n">
        <v>124853.06</v>
      </c>
      <c r="E8" s="124" t="n">
        <v>46250</v>
      </c>
      <c r="F8" s="125" t="n">
        <f aca="false">MAX(0,$B$4-E8)</f>
        <v>15</v>
      </c>
      <c r="G8" s="30" t="n">
        <f aca="false">IF(E8&gt;=$B$4,D8,0)</f>
        <v>0</v>
      </c>
      <c r="H8" s="30" t="n">
        <f aca="false">IF(AND(F8&gt;=1,F8&lt;=30),D8,0)</f>
        <v>124853.06</v>
      </c>
      <c r="I8" s="30" t="n">
        <f aca="false">IF(AND(F8&gt;30,F8&lt;=60),D8,0)</f>
        <v>0</v>
      </c>
      <c r="J8" s="30" t="n">
        <f aca="false">IF(AND(F8&gt;60,F8&lt;=90),D8,0)</f>
        <v>0</v>
      </c>
      <c r="K8" s="30" t="n">
        <f aca="false">IF(F8&gt;90,D8,0)</f>
        <v>0</v>
      </c>
      <c r="L8" s="48" t="s">
        <v>1342</v>
      </c>
    </row>
    <row r="9" customFormat="false" ht="15" hidden="false" customHeight="false" outlineLevel="0" collapsed="false">
      <c r="A9" s="16" t="s">
        <v>1266</v>
      </c>
      <c r="B9" s="16" t="s">
        <v>1343</v>
      </c>
      <c r="C9" s="16" t="s">
        <v>1339</v>
      </c>
      <c r="D9" s="105" t="n">
        <v>76867.12</v>
      </c>
      <c r="E9" s="124" t="n">
        <v>46297</v>
      </c>
      <c r="F9" s="125" t="n">
        <f aca="false">MAX(0,$B$4-E9)</f>
        <v>0</v>
      </c>
      <c r="G9" s="30" t="n">
        <f aca="false">IF(E9&gt;=$B$4,D9,0)</f>
        <v>76867.12</v>
      </c>
      <c r="H9" s="30" t="n">
        <f aca="false">IF(AND(F9&gt;=1,F9&lt;=30),D9,0)</f>
        <v>0</v>
      </c>
      <c r="I9" s="30" t="n">
        <f aca="false">IF(AND(F9&gt;30,F9&lt;=60),D9,0)</f>
        <v>0</v>
      </c>
      <c r="J9" s="30" t="n">
        <f aca="false">IF(AND(F9&gt;60,F9&lt;=90),D9,0)</f>
        <v>0</v>
      </c>
      <c r="K9" s="30" t="n">
        <f aca="false">IF(F9&gt;90,D9,0)</f>
        <v>0</v>
      </c>
      <c r="L9" s="48" t="s">
        <v>1344</v>
      </c>
    </row>
    <row r="10" customFormat="false" ht="15" hidden="false" customHeight="false" outlineLevel="0" collapsed="false">
      <c r="A10" s="16" t="s">
        <v>1266</v>
      </c>
      <c r="B10" s="16" t="s">
        <v>1345</v>
      </c>
      <c r="C10" s="16" t="s">
        <v>1339</v>
      </c>
      <c r="D10" s="105" t="n">
        <v>67258.73</v>
      </c>
      <c r="E10" s="124" t="n">
        <v>46266</v>
      </c>
      <c r="F10" s="125" t="n">
        <f aca="false">MAX(0,$B$4-E10)</f>
        <v>0</v>
      </c>
      <c r="G10" s="30" t="n">
        <f aca="false">IF(E10&gt;=$B$4,D10,0)</f>
        <v>67258.73</v>
      </c>
      <c r="H10" s="30" t="n">
        <f aca="false">IF(AND(F10&gt;=1,F10&lt;=30),D10,0)</f>
        <v>0</v>
      </c>
      <c r="I10" s="30" t="n">
        <f aca="false">IF(AND(F10&gt;30,F10&lt;=60),D10,0)</f>
        <v>0</v>
      </c>
      <c r="J10" s="30" t="n">
        <f aca="false">IF(AND(F10&gt;60,F10&lt;=90),D10,0)</f>
        <v>0</v>
      </c>
      <c r="K10" s="30" t="n">
        <f aca="false">IF(F10&gt;90,D10,0)</f>
        <v>0</v>
      </c>
      <c r="L10" s="48" t="s">
        <v>1346</v>
      </c>
    </row>
    <row r="11" customFormat="false" ht="22.35" hidden="false" customHeight="false" outlineLevel="0" collapsed="false">
      <c r="A11" s="16" t="s">
        <v>1266</v>
      </c>
      <c r="B11" s="16" t="s">
        <v>1347</v>
      </c>
      <c r="C11" s="16" t="s">
        <v>1339</v>
      </c>
      <c r="D11" s="105" t="n">
        <v>48041.96</v>
      </c>
      <c r="E11" s="124" t="n">
        <v>46235</v>
      </c>
      <c r="F11" s="125" t="n">
        <f aca="false">MAX(0,$B$4-E11)</f>
        <v>30</v>
      </c>
      <c r="G11" s="30" t="n">
        <f aca="false">IF(E11&gt;=$B$4,D11,0)</f>
        <v>0</v>
      </c>
      <c r="H11" s="30" t="n">
        <f aca="false">IF(AND(F11&gt;=1,F11&lt;=30),D11,0)</f>
        <v>48041.96</v>
      </c>
      <c r="I11" s="30" t="n">
        <f aca="false">IF(AND(F11&gt;30,F11&lt;=60),D11,0)</f>
        <v>0</v>
      </c>
      <c r="J11" s="30" t="n">
        <f aca="false">IF(AND(F11&gt;60,F11&lt;=90),D11,0)</f>
        <v>0</v>
      </c>
      <c r="K11" s="30" t="n">
        <f aca="false">IF(F11&gt;90,D11,0)</f>
        <v>0</v>
      </c>
      <c r="L11" s="48" t="s">
        <v>1348</v>
      </c>
    </row>
    <row r="12" customFormat="false" ht="15" hidden="false" customHeight="false" outlineLevel="0" collapsed="false">
      <c r="A12" s="16" t="s">
        <v>1268</v>
      </c>
      <c r="B12" s="16" t="s">
        <v>1349</v>
      </c>
      <c r="C12" s="16" t="s">
        <v>1339</v>
      </c>
      <c r="D12" s="105" t="n">
        <v>57147.83</v>
      </c>
      <c r="E12" s="124" t="n">
        <v>46267</v>
      </c>
      <c r="F12" s="125" t="n">
        <f aca="false">MAX(0,$B$4-E12)</f>
        <v>0</v>
      </c>
      <c r="G12" s="30" t="n">
        <f aca="false">IF(E12&gt;=$B$4,D12,0)</f>
        <v>57147.83</v>
      </c>
      <c r="H12" s="30" t="n">
        <f aca="false">IF(AND(F12&gt;=1,F12&lt;=30),D12,0)</f>
        <v>0</v>
      </c>
      <c r="I12" s="30" t="n">
        <f aca="false">IF(AND(F12&gt;30,F12&lt;=60),D12,0)</f>
        <v>0</v>
      </c>
      <c r="J12" s="30" t="n">
        <f aca="false">IF(AND(F12&gt;60,F12&lt;=90),D12,0)</f>
        <v>0</v>
      </c>
      <c r="K12" s="30" t="n">
        <f aca="false">IF(F12&gt;90,D12,0)</f>
        <v>0</v>
      </c>
      <c r="L12" s="48" t="s">
        <v>1350</v>
      </c>
    </row>
    <row r="13" customFormat="false" ht="15" hidden="false" customHeight="false" outlineLevel="0" collapsed="false">
      <c r="A13" s="16" t="s">
        <v>1272</v>
      </c>
      <c r="B13" s="16" t="s">
        <v>1351</v>
      </c>
      <c r="C13" s="16" t="s">
        <v>1339</v>
      </c>
      <c r="D13" s="105" t="n">
        <v>78835.16</v>
      </c>
      <c r="E13" s="124" t="n">
        <v>46295</v>
      </c>
      <c r="F13" s="125" t="n">
        <f aca="false">MAX(0,$B$4-E13)</f>
        <v>0</v>
      </c>
      <c r="G13" s="30" t="n">
        <f aca="false">IF(E13&gt;=$B$4,D13,0)</f>
        <v>78835.16</v>
      </c>
      <c r="H13" s="30" t="n">
        <f aca="false">IF(AND(F13&gt;=1,F13&lt;=30),D13,0)</f>
        <v>0</v>
      </c>
      <c r="I13" s="30" t="n">
        <f aca="false">IF(AND(F13&gt;30,F13&lt;=60),D13,0)</f>
        <v>0</v>
      </c>
      <c r="J13" s="30" t="n">
        <f aca="false">IF(AND(F13&gt;60,F13&lt;=90),D13,0)</f>
        <v>0</v>
      </c>
      <c r="K13" s="30" t="n">
        <f aca="false">IF(F13&gt;90,D13,0)</f>
        <v>0</v>
      </c>
      <c r="L13" s="48" t="s">
        <v>1352</v>
      </c>
    </row>
    <row r="14" customFormat="false" ht="15" hidden="false" customHeight="false" outlineLevel="0" collapsed="false">
      <c r="A14" s="16" t="s">
        <v>1274</v>
      </c>
      <c r="B14" s="16" t="s">
        <v>1353</v>
      </c>
      <c r="C14" s="16" t="s">
        <v>1339</v>
      </c>
      <c r="D14" s="105" t="n">
        <v>85572.55</v>
      </c>
      <c r="E14" s="124" t="n">
        <v>46282</v>
      </c>
      <c r="F14" s="125" t="n">
        <f aca="false">MAX(0,$B$4-E14)</f>
        <v>0</v>
      </c>
      <c r="G14" s="30" t="n">
        <f aca="false">IF(E14&gt;=$B$4,D14,0)</f>
        <v>85572.55</v>
      </c>
      <c r="H14" s="30" t="n">
        <f aca="false">IF(AND(F14&gt;=1,F14&lt;=30),D14,0)</f>
        <v>0</v>
      </c>
      <c r="I14" s="30" t="n">
        <f aca="false">IF(AND(F14&gt;30,F14&lt;=60),D14,0)</f>
        <v>0</v>
      </c>
      <c r="J14" s="30" t="n">
        <f aca="false">IF(AND(F14&gt;60,F14&lt;=90),D14,0)</f>
        <v>0</v>
      </c>
      <c r="K14" s="30" t="n">
        <f aca="false">IF(F14&gt;90,D14,0)</f>
        <v>0</v>
      </c>
      <c r="L14" s="48" t="s">
        <v>1354</v>
      </c>
    </row>
    <row r="15" customFormat="false" ht="15" hidden="false" customHeight="false" outlineLevel="0" collapsed="false">
      <c r="A15" s="16" t="s">
        <v>1274</v>
      </c>
      <c r="B15" s="16" t="s">
        <v>1355</v>
      </c>
      <c r="C15" s="16" t="s">
        <v>1339</v>
      </c>
      <c r="D15" s="105" t="n">
        <v>70013.9</v>
      </c>
      <c r="E15" s="124" t="n">
        <v>46250</v>
      </c>
      <c r="F15" s="125" t="n">
        <f aca="false">MAX(0,$B$4-E15)</f>
        <v>15</v>
      </c>
      <c r="G15" s="30" t="n">
        <f aca="false">IF(E15&gt;=$B$4,D15,0)</f>
        <v>0</v>
      </c>
      <c r="H15" s="30" t="n">
        <f aca="false">IF(AND(F15&gt;=1,F15&lt;=30),D15,0)</f>
        <v>70013.9</v>
      </c>
      <c r="I15" s="30" t="n">
        <f aca="false">IF(AND(F15&gt;30,F15&lt;=60),D15,0)</f>
        <v>0</v>
      </c>
      <c r="J15" s="30" t="n">
        <f aca="false">IF(AND(F15&gt;60,F15&lt;=90),D15,0)</f>
        <v>0</v>
      </c>
      <c r="K15" s="30" t="n">
        <f aca="false">IF(F15&gt;90,D15,0)</f>
        <v>0</v>
      </c>
      <c r="L15" s="48" t="s">
        <v>1356</v>
      </c>
    </row>
    <row r="16" customFormat="false" ht="15" hidden="false" customHeight="false" outlineLevel="0" collapsed="false">
      <c r="A16" s="16" t="s">
        <v>1276</v>
      </c>
      <c r="B16" s="16" t="s">
        <v>1357</v>
      </c>
      <c r="C16" s="16" t="s">
        <v>1339</v>
      </c>
      <c r="D16" s="105" t="n">
        <v>41532.26</v>
      </c>
      <c r="E16" s="124" t="n">
        <v>46295</v>
      </c>
      <c r="F16" s="125" t="n">
        <f aca="false">MAX(0,$B$4-E16)</f>
        <v>0</v>
      </c>
      <c r="G16" s="30" t="n">
        <f aca="false">IF(E16&gt;=$B$4,D16,0)</f>
        <v>41532.26</v>
      </c>
      <c r="H16" s="30" t="n">
        <f aca="false">IF(AND(F16&gt;=1,F16&lt;=30),D16,0)</f>
        <v>0</v>
      </c>
      <c r="I16" s="30" t="n">
        <f aca="false">IF(AND(F16&gt;30,F16&lt;=60),D16,0)</f>
        <v>0</v>
      </c>
      <c r="J16" s="30" t="n">
        <f aca="false">IF(AND(F16&gt;60,F16&lt;=90),D16,0)</f>
        <v>0</v>
      </c>
      <c r="K16" s="30" t="n">
        <f aca="false">IF(F16&gt;90,D16,0)</f>
        <v>0</v>
      </c>
      <c r="L16" s="48" t="s">
        <v>1358</v>
      </c>
    </row>
    <row r="17" customFormat="false" ht="15" hidden="false" customHeight="false" outlineLevel="0" collapsed="false">
      <c r="A17" s="16" t="s">
        <v>1278</v>
      </c>
      <c r="B17" s="16" t="s">
        <v>1359</v>
      </c>
      <c r="C17" s="16" t="s">
        <v>1339</v>
      </c>
      <c r="D17" s="105" t="n">
        <v>61534.23</v>
      </c>
      <c r="E17" s="124" t="n">
        <v>46282</v>
      </c>
      <c r="F17" s="125" t="n">
        <f aca="false">MAX(0,$B$4-E17)</f>
        <v>0</v>
      </c>
      <c r="G17" s="30" t="n">
        <f aca="false">IF(E17&gt;=$B$4,D17,0)</f>
        <v>61534.23</v>
      </c>
      <c r="H17" s="30" t="n">
        <f aca="false">IF(AND(F17&gt;=1,F17&lt;=30),D17,0)</f>
        <v>0</v>
      </c>
      <c r="I17" s="30" t="n">
        <f aca="false">IF(AND(F17&gt;30,F17&lt;=60),D17,0)</f>
        <v>0</v>
      </c>
      <c r="J17" s="30" t="n">
        <f aca="false">IF(AND(F17&gt;60,F17&lt;=90),D17,0)</f>
        <v>0</v>
      </c>
      <c r="K17" s="30" t="n">
        <f aca="false">IF(F17&gt;90,D17,0)</f>
        <v>0</v>
      </c>
      <c r="L17" s="48" t="s">
        <v>1354</v>
      </c>
    </row>
    <row r="18" customFormat="false" ht="15" hidden="false" customHeight="false" outlineLevel="0" collapsed="false">
      <c r="A18" s="16" t="s">
        <v>1278</v>
      </c>
      <c r="B18" s="16" t="s">
        <v>1360</v>
      </c>
      <c r="C18" s="16" t="s">
        <v>1339</v>
      </c>
      <c r="D18" s="105" t="n">
        <v>50346.18</v>
      </c>
      <c r="E18" s="124" t="n">
        <v>46250</v>
      </c>
      <c r="F18" s="125" t="n">
        <f aca="false">MAX(0,$B$4-E18)</f>
        <v>15</v>
      </c>
      <c r="G18" s="30" t="n">
        <f aca="false">IF(E18&gt;=$B$4,D18,0)</f>
        <v>0</v>
      </c>
      <c r="H18" s="30" t="n">
        <f aca="false">IF(AND(F18&gt;=1,F18&lt;=30),D18,0)</f>
        <v>50346.18</v>
      </c>
      <c r="I18" s="30" t="n">
        <f aca="false">IF(AND(F18&gt;30,F18&lt;=60),D18,0)</f>
        <v>0</v>
      </c>
      <c r="J18" s="30" t="n">
        <f aca="false">IF(AND(F18&gt;60,F18&lt;=90),D18,0)</f>
        <v>0</v>
      </c>
      <c r="K18" s="30" t="n">
        <f aca="false">IF(F18&gt;90,D18,0)</f>
        <v>0</v>
      </c>
      <c r="L18" s="48" t="s">
        <v>1361</v>
      </c>
    </row>
    <row r="19" customFormat="false" ht="15" hidden="false" customHeight="false" outlineLevel="0" collapsed="false">
      <c r="A19" s="16" t="s">
        <v>1286</v>
      </c>
      <c r="B19" s="16" t="s">
        <v>1362</v>
      </c>
      <c r="C19" s="16" t="s">
        <v>1363</v>
      </c>
      <c r="D19" s="105" t="n">
        <v>78067.52</v>
      </c>
      <c r="E19" s="124" t="n">
        <v>46267</v>
      </c>
      <c r="F19" s="125" t="n">
        <f aca="false">MAX(0,$B$4-E19)</f>
        <v>0</v>
      </c>
      <c r="G19" s="30" t="n">
        <f aca="false">IF(E19&gt;=$B$4,D19,0)</f>
        <v>78067.52</v>
      </c>
      <c r="H19" s="30" t="n">
        <f aca="false">IF(AND(F19&gt;=1,F19&lt;=30),D19,0)</f>
        <v>0</v>
      </c>
      <c r="I19" s="30" t="n">
        <f aca="false">IF(AND(F19&gt;30,F19&lt;=60),D19,0)</f>
        <v>0</v>
      </c>
      <c r="J19" s="30" t="n">
        <f aca="false">IF(AND(F19&gt;60,F19&lt;=90),D19,0)</f>
        <v>0</v>
      </c>
      <c r="K19" s="30" t="n">
        <f aca="false">IF(F19&gt;90,D19,0)</f>
        <v>0</v>
      </c>
      <c r="L19" s="48" t="s">
        <v>1364</v>
      </c>
    </row>
    <row r="20" customFormat="false" ht="22.35" hidden="false" customHeight="false" outlineLevel="0" collapsed="false">
      <c r="A20" s="16" t="s">
        <v>1282</v>
      </c>
      <c r="B20" s="16" t="s">
        <v>1365</v>
      </c>
      <c r="C20" s="16" t="s">
        <v>1366</v>
      </c>
      <c r="D20" s="105" t="n">
        <v>49214.59</v>
      </c>
      <c r="E20" s="124" t="n">
        <v>46249</v>
      </c>
      <c r="F20" s="125" t="n">
        <f aca="false">MAX(0,$B$4-E20)</f>
        <v>16</v>
      </c>
      <c r="G20" s="30" t="n">
        <f aca="false">IF(E20&gt;=$B$4,D20,0)</f>
        <v>0</v>
      </c>
      <c r="H20" s="30" t="n">
        <f aca="false">IF(AND(F20&gt;=1,F20&lt;=30),D20,0)</f>
        <v>49214.59</v>
      </c>
      <c r="I20" s="30" t="n">
        <f aca="false">IF(AND(F20&gt;30,F20&lt;=60),D20,0)</f>
        <v>0</v>
      </c>
      <c r="J20" s="30" t="n">
        <f aca="false">IF(AND(F20&gt;60,F20&lt;=90),D20,0)</f>
        <v>0</v>
      </c>
      <c r="K20" s="30" t="n">
        <f aca="false">IF(F20&gt;90,D20,0)</f>
        <v>0</v>
      </c>
      <c r="L20" s="48" t="s">
        <v>1367</v>
      </c>
    </row>
    <row r="21" customFormat="false" ht="15" hidden="false" customHeight="false" outlineLevel="0" collapsed="false">
      <c r="A21" s="16" t="s">
        <v>1282</v>
      </c>
      <c r="B21" s="16" t="s">
        <v>1368</v>
      </c>
      <c r="C21" s="16" t="s">
        <v>1366</v>
      </c>
      <c r="D21" s="105" t="n">
        <v>43062.76</v>
      </c>
      <c r="E21" s="124" t="n">
        <v>46219</v>
      </c>
      <c r="F21" s="125" t="n">
        <f aca="false">MAX(0,$B$4-E21)</f>
        <v>46</v>
      </c>
      <c r="G21" s="30" t="n">
        <f aca="false">IF(E21&gt;=$B$4,D21,0)</f>
        <v>0</v>
      </c>
      <c r="H21" s="30" t="n">
        <f aca="false">IF(AND(F21&gt;=1,F21&lt;=30),D21,0)</f>
        <v>0</v>
      </c>
      <c r="I21" s="30" t="n">
        <f aca="false">IF(AND(F21&gt;30,F21&lt;=60),D21,0)</f>
        <v>43062.76</v>
      </c>
      <c r="J21" s="30" t="n">
        <f aca="false">IF(AND(F21&gt;60,F21&lt;=90),D21,0)</f>
        <v>0</v>
      </c>
      <c r="K21" s="30" t="n">
        <f aca="false">IF(F21&gt;90,D21,0)</f>
        <v>0</v>
      </c>
      <c r="L21" s="48" t="s">
        <v>1369</v>
      </c>
    </row>
    <row r="22" customFormat="false" ht="15" hidden="false" customHeight="false" outlineLevel="0" collapsed="false">
      <c r="A22" s="16" t="s">
        <v>1282</v>
      </c>
      <c r="B22" s="16" t="s">
        <v>1370</v>
      </c>
      <c r="C22" s="16" t="s">
        <v>1366</v>
      </c>
      <c r="D22" s="105" t="n">
        <v>30759.12</v>
      </c>
      <c r="E22" s="124" t="n">
        <v>46188</v>
      </c>
      <c r="F22" s="125" t="n">
        <f aca="false">MAX(0,$B$4-E22)</f>
        <v>77</v>
      </c>
      <c r="G22" s="30" t="n">
        <f aca="false">IF(E22&gt;=$B$4,D22,0)</f>
        <v>0</v>
      </c>
      <c r="H22" s="30" t="n">
        <f aca="false">IF(AND(F22&gt;=1,F22&lt;=30),D22,0)</f>
        <v>0</v>
      </c>
      <c r="I22" s="30" t="n">
        <f aca="false">IF(AND(F22&gt;30,F22&lt;=60),D22,0)</f>
        <v>0</v>
      </c>
      <c r="J22" s="30" t="n">
        <f aca="false">IF(AND(F22&gt;60,F22&lt;=90),D22,0)</f>
        <v>30759.12</v>
      </c>
      <c r="K22" s="30" t="n">
        <f aca="false">IF(F22&gt;90,D22,0)</f>
        <v>0</v>
      </c>
      <c r="L22" s="48" t="s">
        <v>1369</v>
      </c>
    </row>
    <row r="23" customFormat="false" ht="15" hidden="false" customHeight="false" outlineLevel="0" collapsed="false">
      <c r="A23" s="79" t="s">
        <v>522</v>
      </c>
      <c r="D23" s="80" t="n">
        <f aca="false">SUM(D7:D22)</f>
        <v>1098364.45</v>
      </c>
      <c r="G23" s="80" t="n">
        <f aca="false">SUM(G7:G22)</f>
        <v>682072.88</v>
      </c>
      <c r="H23" s="80" t="n">
        <f aca="false">SUM(H7:H22)</f>
        <v>342469.69</v>
      </c>
      <c r="I23" s="80" t="n">
        <f aca="false">SUM(I7:I22)</f>
        <v>43062.76</v>
      </c>
      <c r="J23" s="80" t="n">
        <f aca="false">SUM(J7:J22)</f>
        <v>30759.12</v>
      </c>
      <c r="K23" s="80" t="n">
        <f aca="false">SUM(K7:K22)</f>
        <v>0</v>
      </c>
    </row>
    <row r="24" customFormat="false" ht="15" hidden="false" customHeight="false" outlineLevel="0" collapsed="false">
      <c r="A24" s="15" t="s">
        <v>1371</v>
      </c>
      <c r="G24" s="121" t="n">
        <f aca="false">IF($D$23=0,0,G23/$D$23)</f>
        <v>0.620989581372558</v>
      </c>
      <c r="H24" s="121" t="n">
        <f aca="false">IF($D$23=0,0,H23/$D$23)</f>
        <v>0.311799685432281</v>
      </c>
      <c r="I24" s="121" t="n">
        <f aca="false">IF($D$23=0,0,I23/$D$23)</f>
        <v>0.0392062579956953</v>
      </c>
      <c r="J24" s="121" t="n">
        <f aca="false">IF($D$23=0,0,J23/$D$23)</f>
        <v>0.0280044751994659</v>
      </c>
      <c r="K24" s="121" t="n">
        <f aca="false">IF($D$23=0,0,K23/$D$23)</f>
        <v>0</v>
      </c>
    </row>
    <row r="26" customFormat="false" ht="15" hidden="false" customHeight="false" outlineLevel="0" collapsed="false">
      <c r="A26" s="5" t="s">
        <v>1372</v>
      </c>
      <c r="D26" s="30" t="n">
        <f aca="false">SUMIFS(D7:D22,C7:C22,"Clients in Germany")</f>
        <v>897260.46</v>
      </c>
      <c r="E26" s="126" t="s">
        <v>1373</v>
      </c>
      <c r="F26" s="62" t="n">
        <f aca="false">INDEX(Receivables!$E$9:$AB$9,Assumptions!$C$10)</f>
        <v>897260.4431</v>
      </c>
      <c r="G26" s="126" t="s">
        <v>1374</v>
      </c>
      <c r="H26" s="37" t="n">
        <f aca="false">ROUND(D26-F26,0)</f>
        <v>0</v>
      </c>
    </row>
    <row r="27" customFormat="false" ht="15" hidden="false" customHeight="false" outlineLevel="0" collapsed="false">
      <c r="A27" s="5" t="s">
        <v>1375</v>
      </c>
      <c r="D27" s="30" t="n">
        <f aca="false">SUMIFS(D7:D22,C7:C22,"Clients in Austria and Switzerland")</f>
        <v>78067.52</v>
      </c>
      <c r="E27" s="126" t="s">
        <v>1373</v>
      </c>
      <c r="F27" s="62" t="n">
        <f aca="false">INDEX(Receivables!$E$10:$AB$10,Assumptions!$C$10)</f>
        <v>78067.52</v>
      </c>
      <c r="G27" s="126" t="s">
        <v>1374</v>
      </c>
      <c r="H27" s="37" t="n">
        <f aca="false">ROUND(D27-F27,0)</f>
        <v>0</v>
      </c>
    </row>
    <row r="28" customFormat="false" ht="15" hidden="false" customHeight="false" outlineLevel="0" collapsed="false">
      <c r="A28" s="5" t="s">
        <v>1376</v>
      </c>
      <c r="D28" s="30" t="n">
        <f aca="false">SUMIFS(D7:D22,C7:C22,"Insolvent client")</f>
        <v>123036.47</v>
      </c>
      <c r="E28" s="126" t="s">
        <v>1373</v>
      </c>
      <c r="F28" s="62" t="n">
        <f aca="false">INDEX(Receivables!$E$11:$AB$11,Assumptions!$C$10)</f>
        <v>123036.4612</v>
      </c>
      <c r="G28" s="126" t="s">
        <v>1374</v>
      </c>
      <c r="H28" s="37" t="n">
        <f aca="false">ROUND(D28-F28,0)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1377</v>
      </c>
    </row>
    <row r="3" customFormat="false" ht="15" hidden="false" customHeight="false" outlineLevel="0" collapsed="false">
      <c r="A3" s="26" t="s">
        <v>1378</v>
      </c>
    </row>
    <row r="4" customFormat="false" ht="15" hidden="false" customHeight="false" outlineLevel="0" collapsed="false">
      <c r="A4" s="0" t="s">
        <v>1325</v>
      </c>
      <c r="B4" s="123" t="n">
        <f aca="false">Assumptions!$C$15</f>
        <v>46265</v>
      </c>
    </row>
    <row r="6" customFormat="false" ht="30" hidden="false" customHeight="true" outlineLevel="0" collapsed="false">
      <c r="A6" s="27" t="s">
        <v>1326</v>
      </c>
      <c r="B6" s="28" t="s">
        <v>1327</v>
      </c>
      <c r="C6" s="28" t="s">
        <v>1328</v>
      </c>
      <c r="D6" s="28" t="s">
        <v>1329</v>
      </c>
      <c r="E6" s="28" t="s">
        <v>1330</v>
      </c>
      <c r="F6" s="28" t="s">
        <v>1331</v>
      </c>
      <c r="G6" s="28" t="s">
        <v>1332</v>
      </c>
      <c r="H6" s="28" t="s">
        <v>1333</v>
      </c>
      <c r="I6" s="28" t="s">
        <v>1334</v>
      </c>
      <c r="J6" s="28" t="s">
        <v>1335</v>
      </c>
      <c r="K6" s="28" t="s">
        <v>1336</v>
      </c>
      <c r="L6" s="28" t="s">
        <v>1337</v>
      </c>
    </row>
    <row r="7" customFormat="false" ht="22.35" hidden="false" customHeight="false" outlineLevel="0" collapsed="false">
      <c r="A7" s="16" t="s">
        <v>1379</v>
      </c>
      <c r="B7" s="16" t="s">
        <v>1380</v>
      </c>
      <c r="C7" s="16" t="s">
        <v>357</v>
      </c>
      <c r="D7" s="105" t="n">
        <v>5733.76</v>
      </c>
      <c r="E7" s="124" t="n">
        <v>46294</v>
      </c>
      <c r="F7" s="125" t="n">
        <f aca="false">MAX(0,$B$4-E7)</f>
        <v>0</v>
      </c>
      <c r="G7" s="30" t="n">
        <f aca="false">IF(E7&gt;=$B$4,D7,0)</f>
        <v>5733.76</v>
      </c>
      <c r="H7" s="30" t="n">
        <f aca="false">IF(AND(F7&gt;=1,F7&lt;=30),D7,0)</f>
        <v>0</v>
      </c>
      <c r="I7" s="30" t="n">
        <f aca="false">IF(AND(F7&gt;30,F7&lt;=60),D7,0)</f>
        <v>0</v>
      </c>
      <c r="J7" s="30" t="n">
        <f aca="false">IF(AND(F7&gt;60,F7&lt;=90),D7,0)</f>
        <v>0</v>
      </c>
      <c r="K7" s="30" t="n">
        <f aca="false">IF(F7&gt;90,D7,0)</f>
        <v>0</v>
      </c>
      <c r="L7" s="48" t="s">
        <v>1381</v>
      </c>
    </row>
    <row r="8" customFormat="false" ht="22.35" hidden="false" customHeight="false" outlineLevel="0" collapsed="false">
      <c r="A8" s="16" t="s">
        <v>1382</v>
      </c>
      <c r="B8" s="16" t="s">
        <v>1383</v>
      </c>
      <c r="C8" s="16" t="s">
        <v>357</v>
      </c>
      <c r="D8" s="105" t="n">
        <v>4073.99</v>
      </c>
      <c r="E8" s="124" t="n">
        <v>46290</v>
      </c>
      <c r="F8" s="125" t="n">
        <f aca="false">MAX(0,$B$4-E8)</f>
        <v>0</v>
      </c>
      <c r="G8" s="30" t="n">
        <f aca="false">IF(E8&gt;=$B$4,D8,0)</f>
        <v>4073.99</v>
      </c>
      <c r="H8" s="30" t="n">
        <f aca="false">IF(AND(F8&gt;=1,F8&lt;=30),D8,0)</f>
        <v>0</v>
      </c>
      <c r="I8" s="30" t="n">
        <f aca="false">IF(AND(F8&gt;30,F8&lt;=60),D8,0)</f>
        <v>0</v>
      </c>
      <c r="J8" s="30" t="n">
        <f aca="false">IF(AND(F8&gt;60,F8&lt;=90),D8,0)</f>
        <v>0</v>
      </c>
      <c r="K8" s="30" t="n">
        <f aca="false">IF(F8&gt;90,D8,0)</f>
        <v>0</v>
      </c>
      <c r="L8" s="48" t="s">
        <v>1381</v>
      </c>
    </row>
    <row r="9" customFormat="false" ht="22.35" hidden="false" customHeight="false" outlineLevel="0" collapsed="false">
      <c r="A9" s="16" t="s">
        <v>1384</v>
      </c>
      <c r="B9" s="16" t="s">
        <v>1385</v>
      </c>
      <c r="C9" s="16" t="s">
        <v>357</v>
      </c>
      <c r="D9" s="105" t="n">
        <v>3017.77</v>
      </c>
      <c r="E9" s="124" t="n">
        <v>46295</v>
      </c>
      <c r="F9" s="125" t="n">
        <f aca="false">MAX(0,$B$4-E9)</f>
        <v>0</v>
      </c>
      <c r="G9" s="30" t="n">
        <f aca="false">IF(E9&gt;=$B$4,D9,0)</f>
        <v>3017.77</v>
      </c>
      <c r="H9" s="30" t="n">
        <f aca="false">IF(AND(F9&gt;=1,F9&lt;=30),D9,0)</f>
        <v>0</v>
      </c>
      <c r="I9" s="30" t="n">
        <f aca="false">IF(AND(F9&gt;30,F9&lt;=60),D9,0)</f>
        <v>0</v>
      </c>
      <c r="J9" s="30" t="n">
        <f aca="false">IF(AND(F9&gt;60,F9&lt;=90),D9,0)</f>
        <v>0</v>
      </c>
      <c r="K9" s="30" t="n">
        <f aca="false">IF(F9&gt;90,D9,0)</f>
        <v>0</v>
      </c>
      <c r="L9" s="48" t="s">
        <v>1381</v>
      </c>
    </row>
    <row r="10" customFormat="false" ht="22.35" hidden="false" customHeight="false" outlineLevel="0" collapsed="false">
      <c r="A10" s="16" t="s">
        <v>1386</v>
      </c>
      <c r="B10" s="16" t="s">
        <v>1387</v>
      </c>
      <c r="C10" s="16" t="s">
        <v>357</v>
      </c>
      <c r="D10" s="105" t="n">
        <v>2263.32</v>
      </c>
      <c r="E10" s="124" t="n">
        <v>46285</v>
      </c>
      <c r="F10" s="125" t="n">
        <f aca="false">MAX(0,$B$4-E10)</f>
        <v>0</v>
      </c>
      <c r="G10" s="30" t="n">
        <f aca="false">IF(E10&gt;=$B$4,D10,0)</f>
        <v>2263.32</v>
      </c>
      <c r="H10" s="30" t="n">
        <f aca="false">IF(AND(F10&gt;=1,F10&lt;=30),D10,0)</f>
        <v>0</v>
      </c>
      <c r="I10" s="30" t="n">
        <f aca="false">IF(AND(F10&gt;30,F10&lt;=60),D10,0)</f>
        <v>0</v>
      </c>
      <c r="J10" s="30" t="n">
        <f aca="false">IF(AND(F10&gt;60,F10&lt;=90),D10,0)</f>
        <v>0</v>
      </c>
      <c r="K10" s="30" t="n">
        <f aca="false">IF(F10&gt;90,D10,0)</f>
        <v>0</v>
      </c>
      <c r="L10" s="48" t="s">
        <v>1381</v>
      </c>
    </row>
    <row r="11" customFormat="false" ht="22.35" hidden="false" customHeight="false" outlineLevel="0" collapsed="false">
      <c r="A11" s="16" t="s">
        <v>1388</v>
      </c>
      <c r="B11" s="16" t="s">
        <v>1389</v>
      </c>
      <c r="C11" s="16" t="s">
        <v>1390</v>
      </c>
      <c r="D11" s="105" t="n">
        <v>11351.52</v>
      </c>
      <c r="E11" s="124" t="n">
        <v>46280</v>
      </c>
      <c r="F11" s="125" t="n">
        <f aca="false">MAX(0,$B$4-E11)</f>
        <v>0</v>
      </c>
      <c r="G11" s="30" t="n">
        <f aca="false">IF(E11&gt;=$B$4,D11,0)</f>
        <v>11351.52</v>
      </c>
      <c r="H11" s="30" t="n">
        <f aca="false">IF(AND(F11&gt;=1,F11&lt;=30),D11,0)</f>
        <v>0</v>
      </c>
      <c r="I11" s="30" t="n">
        <f aca="false">IF(AND(F11&gt;30,F11&lt;=60),D11,0)</f>
        <v>0</v>
      </c>
      <c r="J11" s="30" t="n">
        <f aca="false">IF(AND(F11&gt;60,F11&lt;=90),D11,0)</f>
        <v>0</v>
      </c>
      <c r="K11" s="30" t="n">
        <f aca="false">IF(F11&gt;90,D11,0)</f>
        <v>0</v>
      </c>
      <c r="L11" s="48" t="s">
        <v>1391</v>
      </c>
    </row>
    <row r="12" customFormat="false" ht="22.35" hidden="false" customHeight="false" outlineLevel="0" collapsed="false">
      <c r="A12" s="16" t="s">
        <v>1392</v>
      </c>
      <c r="B12" s="16" t="s">
        <v>1393</v>
      </c>
      <c r="C12" s="16" t="s">
        <v>1390</v>
      </c>
      <c r="D12" s="105" t="n">
        <v>9287.61</v>
      </c>
      <c r="E12" s="124" t="n">
        <v>46280</v>
      </c>
      <c r="F12" s="125" t="n">
        <f aca="false">MAX(0,$B$4-E12)</f>
        <v>0</v>
      </c>
      <c r="G12" s="30" t="n">
        <f aca="false">IF(E12&gt;=$B$4,D12,0)</f>
        <v>9287.61</v>
      </c>
      <c r="H12" s="30" t="n">
        <f aca="false">IF(AND(F12&gt;=1,F12&lt;=30),D12,0)</f>
        <v>0</v>
      </c>
      <c r="I12" s="30" t="n">
        <f aca="false">IF(AND(F12&gt;30,F12&lt;=60),D12,0)</f>
        <v>0</v>
      </c>
      <c r="J12" s="30" t="n">
        <f aca="false">IF(AND(F12&gt;60,F12&lt;=90),D12,0)</f>
        <v>0</v>
      </c>
      <c r="K12" s="30" t="n">
        <f aca="false">IF(F12&gt;90,D12,0)</f>
        <v>0</v>
      </c>
      <c r="L12" s="48" t="s">
        <v>1391</v>
      </c>
    </row>
    <row r="13" customFormat="false" ht="15" hidden="false" customHeight="false" outlineLevel="0" collapsed="false">
      <c r="A13" s="16" t="s">
        <v>1394</v>
      </c>
      <c r="B13" s="16" t="s">
        <v>1395</v>
      </c>
      <c r="C13" s="16" t="s">
        <v>74</v>
      </c>
      <c r="D13" s="105" t="n">
        <v>7945.29</v>
      </c>
      <c r="E13" s="124" t="n">
        <v>46279</v>
      </c>
      <c r="F13" s="125" t="n">
        <f aca="false">MAX(0,$B$4-E13)</f>
        <v>0</v>
      </c>
      <c r="G13" s="30" t="n">
        <f aca="false">IF(E13&gt;=$B$4,D13,0)</f>
        <v>7945.29</v>
      </c>
      <c r="H13" s="30" t="n">
        <f aca="false">IF(AND(F13&gt;=1,F13&lt;=30),D13,0)</f>
        <v>0</v>
      </c>
      <c r="I13" s="30" t="n">
        <f aca="false">IF(AND(F13&gt;30,F13&lt;=60),D13,0)</f>
        <v>0</v>
      </c>
      <c r="J13" s="30" t="n">
        <f aca="false">IF(AND(F13&gt;60,F13&lt;=90),D13,0)</f>
        <v>0</v>
      </c>
      <c r="K13" s="30" t="n">
        <f aca="false">IF(F13&gt;90,D13,0)</f>
        <v>0</v>
      </c>
      <c r="L13" s="48"/>
    </row>
    <row r="14" customFormat="false" ht="15" hidden="false" customHeight="false" outlineLevel="0" collapsed="false">
      <c r="A14" s="16" t="s">
        <v>1396</v>
      </c>
      <c r="B14" s="16" t="s">
        <v>1397</v>
      </c>
      <c r="C14" s="16" t="s">
        <v>74</v>
      </c>
      <c r="D14" s="105" t="n">
        <v>5826.55</v>
      </c>
      <c r="E14" s="124" t="n">
        <v>46279</v>
      </c>
      <c r="F14" s="125" t="n">
        <f aca="false">MAX(0,$B$4-E14)</f>
        <v>0</v>
      </c>
      <c r="G14" s="30" t="n">
        <f aca="false">IF(E14&gt;=$B$4,D14,0)</f>
        <v>5826.55</v>
      </c>
      <c r="H14" s="30" t="n">
        <f aca="false">IF(AND(F14&gt;=1,F14&lt;=30),D14,0)</f>
        <v>0</v>
      </c>
      <c r="I14" s="30" t="n">
        <f aca="false">IF(AND(F14&gt;30,F14&lt;=60),D14,0)</f>
        <v>0</v>
      </c>
      <c r="J14" s="30" t="n">
        <f aca="false">IF(AND(F14&gt;60,F14&lt;=90),D14,0)</f>
        <v>0</v>
      </c>
      <c r="K14" s="30" t="n">
        <f aca="false">IF(F14&gt;90,D14,0)</f>
        <v>0</v>
      </c>
      <c r="L14" s="48"/>
    </row>
    <row r="15" customFormat="false" ht="15" hidden="false" customHeight="false" outlineLevel="0" collapsed="false">
      <c r="A15" s="16" t="s">
        <v>1398</v>
      </c>
      <c r="B15" s="16" t="s">
        <v>1399</v>
      </c>
      <c r="C15" s="16" t="s">
        <v>74</v>
      </c>
      <c r="D15" s="105" t="n">
        <v>4767.17</v>
      </c>
      <c r="E15" s="124" t="n">
        <v>46279</v>
      </c>
      <c r="F15" s="125" t="n">
        <f aca="false">MAX(0,$B$4-E15)</f>
        <v>0</v>
      </c>
      <c r="G15" s="30" t="n">
        <f aca="false">IF(E15&gt;=$B$4,D15,0)</f>
        <v>4767.17</v>
      </c>
      <c r="H15" s="30" t="n">
        <f aca="false">IF(AND(F15&gt;=1,F15&lt;=30),D15,0)</f>
        <v>0</v>
      </c>
      <c r="I15" s="30" t="n">
        <f aca="false">IF(AND(F15&gt;30,F15&lt;=60),D15,0)</f>
        <v>0</v>
      </c>
      <c r="J15" s="30" t="n">
        <f aca="false">IF(AND(F15&gt;60,F15&lt;=90),D15,0)</f>
        <v>0</v>
      </c>
      <c r="K15" s="30" t="n">
        <f aca="false">IF(F15&gt;90,D15,0)</f>
        <v>0</v>
      </c>
      <c r="L15" s="48"/>
    </row>
    <row r="16" customFormat="false" ht="15" hidden="false" customHeight="false" outlineLevel="0" collapsed="false">
      <c r="A16" s="16" t="s">
        <v>1400</v>
      </c>
      <c r="B16" s="16" t="s">
        <v>1401</v>
      </c>
      <c r="C16" s="16" t="s">
        <v>74</v>
      </c>
      <c r="D16" s="105" t="n">
        <v>7945.29</v>
      </c>
      <c r="E16" s="124" t="n">
        <v>46279</v>
      </c>
      <c r="F16" s="125" t="n">
        <f aca="false">MAX(0,$B$4-E16)</f>
        <v>0</v>
      </c>
      <c r="G16" s="30" t="n">
        <f aca="false">IF(E16&gt;=$B$4,D16,0)</f>
        <v>7945.29</v>
      </c>
      <c r="H16" s="30" t="n">
        <f aca="false">IF(AND(F16&gt;=1,F16&lt;=30),D16,0)</f>
        <v>0</v>
      </c>
      <c r="I16" s="30" t="n">
        <f aca="false">IF(AND(F16&gt;30,F16&lt;=60),D16,0)</f>
        <v>0</v>
      </c>
      <c r="J16" s="30" t="n">
        <f aca="false">IF(AND(F16&gt;60,F16&lt;=90),D16,0)</f>
        <v>0</v>
      </c>
      <c r="K16" s="30" t="n">
        <f aca="false">IF(F16&gt;90,D16,0)</f>
        <v>0</v>
      </c>
      <c r="L16" s="48"/>
    </row>
    <row r="17" customFormat="false" ht="15" hidden="false" customHeight="false" outlineLevel="0" collapsed="false">
      <c r="A17" s="79" t="s">
        <v>522</v>
      </c>
      <c r="D17" s="80" t="n">
        <f aca="false">SUM(D7:D16)</f>
        <v>62212.27</v>
      </c>
      <c r="G17" s="80" t="n">
        <f aca="false">SUM(G7:G16)</f>
        <v>62212.27</v>
      </c>
      <c r="H17" s="80" t="n">
        <f aca="false">SUM(H7:H16)</f>
        <v>0</v>
      </c>
      <c r="I17" s="80" t="n">
        <f aca="false">SUM(I7:I16)</f>
        <v>0</v>
      </c>
      <c r="J17" s="80" t="n">
        <f aca="false">SUM(J7:J16)</f>
        <v>0</v>
      </c>
      <c r="K17" s="80" t="n">
        <f aca="false">SUM(K7:K16)</f>
        <v>0</v>
      </c>
    </row>
    <row r="18" customFormat="false" ht="15" hidden="false" customHeight="false" outlineLevel="0" collapsed="false">
      <c r="A18" s="15" t="s">
        <v>1371</v>
      </c>
      <c r="G18" s="121" t="n">
        <f aca="false">IF($D$17=0,0,G17/$D$17)</f>
        <v>1</v>
      </c>
      <c r="H18" s="121" t="n">
        <f aca="false">IF($D$17=0,0,H17/$D$17)</f>
        <v>0</v>
      </c>
      <c r="I18" s="121" t="n">
        <f aca="false">IF($D$17=0,0,I17/$D$17)</f>
        <v>0</v>
      </c>
      <c r="J18" s="121" t="n">
        <f aca="false">IF($D$17=0,0,J17/$D$17)</f>
        <v>0</v>
      </c>
      <c r="K18" s="121" t="n">
        <f aca="false">IF($D$17=0,0,K17/$D$17)</f>
        <v>0</v>
      </c>
    </row>
    <row r="20" customFormat="false" ht="15" hidden="false" customHeight="false" outlineLevel="0" collapsed="false">
      <c r="A20" s="5" t="s">
        <v>1402</v>
      </c>
      <c r="D20" s="30" t="n">
        <f aca="false">SUMIFS(D7:D16,C7:C16,"Subcontractors")</f>
        <v>15088.84</v>
      </c>
      <c r="E20" s="126" t="s">
        <v>1373</v>
      </c>
      <c r="F20" s="62" t="n">
        <f aca="false">INDEX(Payables!$E$12:$AB$12,Assumptions!$C$10)</f>
        <v>15088.84159</v>
      </c>
      <c r="G20" s="126" t="s">
        <v>1374</v>
      </c>
      <c r="H20" s="37" t="n">
        <f aca="false">ROUND(D20-F20,0)</f>
        <v>-0</v>
      </c>
    </row>
    <row r="21" customFormat="false" ht="15" hidden="false" customHeight="false" outlineLevel="0" collapsed="false">
      <c r="A21" s="5" t="s">
        <v>1403</v>
      </c>
      <c r="D21" s="30" t="n">
        <f aca="false">SUMIFS(D7:D16,C7:C16,"Travel and expenses")</f>
        <v>20639.13</v>
      </c>
      <c r="E21" s="126" t="s">
        <v>1373</v>
      </c>
      <c r="F21" s="62" t="n">
        <f aca="false">INDEX(Payables!$E$17:$AB$17,Assumptions!$C$10)</f>
        <v>20639.1345</v>
      </c>
      <c r="G21" s="126" t="s">
        <v>1374</v>
      </c>
      <c r="H21" s="37" t="n">
        <f aca="false">ROUND(D21-F21,0)</f>
        <v>-0</v>
      </c>
    </row>
    <row r="22" customFormat="false" ht="15" hidden="false" customHeight="false" outlineLevel="0" collapsed="false">
      <c r="A22" s="5" t="s">
        <v>1404</v>
      </c>
      <c r="D22" s="30" t="n">
        <f aca="false">SUMIFS(D7:D16,C7:C16,"Overheads")</f>
        <v>26484.3</v>
      </c>
      <c r="E22" s="126" t="s">
        <v>1373</v>
      </c>
      <c r="F22" s="62" t="n">
        <f aca="false">INDEX(Payables!$E$22:$AB$22,Assumptions!$C$10)</f>
        <v>26484.3</v>
      </c>
      <c r="G22" s="126" t="s">
        <v>1374</v>
      </c>
      <c r="H22" s="37" t="n">
        <f aca="false">ROUND(D22-F22,0)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1405</v>
      </c>
    </row>
    <row r="3" customFormat="false" ht="15" hidden="false" customHeight="false" outlineLevel="0" collapsed="false">
      <c r="A3" s="51" t="s">
        <v>1406</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1407</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1408</v>
      </c>
      <c r="B9" s="60"/>
      <c r="C9" s="61" t="n">
        <f aca="false">SUM(E9:P9)</f>
        <v>267582.874025502</v>
      </c>
      <c r="D9" s="61" t="n">
        <f aca="false">SUM(Q9:AB9)</f>
        <v>35335.621920693</v>
      </c>
      <c r="E9" s="62" t="n">
        <f aca="false">Capacity!E141*(1+Assumptions!$C$18*Assumptions!$C$23)</f>
        <v>8042.52799</v>
      </c>
      <c r="F9" s="62" t="n">
        <f aca="false">Capacity!F141*(1+Assumptions!$C$18*Assumptions!$C$23)</f>
        <v>10062.86432</v>
      </c>
      <c r="G9" s="62" t="n">
        <f aca="false">Capacity!G141*(1+Assumptions!$C$18*Assumptions!$C$23)</f>
        <v>3019.31925</v>
      </c>
      <c r="H9" s="62" t="n">
        <f aca="false">Capacity!H141*(1+Assumptions!$C$18*Assumptions!$C$23)</f>
        <v>18720.255565</v>
      </c>
      <c r="I9" s="62" t="n">
        <f aca="false">Capacity!I141*(1+Assumptions!$C$18*Assumptions!$C$23)</f>
        <v>42853.739955</v>
      </c>
      <c r="J9" s="62" t="n">
        <f aca="false">Capacity!J141*(1+Assumptions!$C$18*Assumptions!$C$23)</f>
        <v>56569.080405</v>
      </c>
      <c r="K9" s="62" t="n">
        <f aca="false">Capacity!K141*(1+Assumptions!$C$18*Assumptions!$C$23)</f>
        <v>23074.40546</v>
      </c>
      <c r="L9" s="62" t="n">
        <f aca="false">Capacity!L141*(1+Assumptions!$C$18*Assumptions!$C$23)</f>
        <v>15309.998645</v>
      </c>
      <c r="M9" s="62" t="n">
        <f aca="false">Capacity!M141*(1+Assumptions!$C$18*Assumptions!$C$23)</f>
        <v>44973.1880456479</v>
      </c>
      <c r="N9" s="62" t="n">
        <f aca="false">Capacity!N141*(1+Assumptions!$C$18*Assumptions!$C$23)</f>
        <v>20188.754385353</v>
      </c>
      <c r="O9" s="62" t="n">
        <f aca="false">Capacity!O141*(1+Assumptions!$C$18*Assumptions!$C$23)</f>
        <v>5690.35657053398</v>
      </c>
      <c r="P9" s="62" t="n">
        <f aca="false">Capacity!P141*(1+Assumptions!$C$18*Assumptions!$C$23)</f>
        <v>19078.3834339666</v>
      </c>
      <c r="Q9" s="62" t="n">
        <f aca="false">Capacity!Q141*(1+Assumptions!$C$18*Assumptions!$C$23)</f>
        <v>17591.1005682754</v>
      </c>
      <c r="R9" s="62" t="n">
        <f aca="false">Capacity!R141*(1+Assumptions!$C$18*Assumptions!$C$23)</f>
        <v>17695.717563669</v>
      </c>
      <c r="S9" s="62" t="n">
        <f aca="false">Capacity!S141*(1+Assumptions!$C$18*Assumptions!$C$23)</f>
        <v>48.8037887485728</v>
      </c>
      <c r="T9" s="62" t="n">
        <f aca="false">Capacity!T141*(1+Assumptions!$C$18*Assumptions!$C$23)</f>
        <v>0</v>
      </c>
      <c r="U9" s="62" t="n">
        <f aca="false">Capacity!U141*(1+Assumptions!$C$18*Assumptions!$C$23)</f>
        <v>0</v>
      </c>
      <c r="V9" s="62" t="n">
        <f aca="false">Capacity!V141*(1+Assumptions!$C$18*Assumptions!$C$23)</f>
        <v>0</v>
      </c>
      <c r="W9" s="62" t="n">
        <f aca="false">Capacity!W141*(1+Assumptions!$C$18*Assumptions!$C$23)</f>
        <v>0</v>
      </c>
      <c r="X9" s="62" t="n">
        <f aca="false">Capacity!X141*(1+Assumptions!$C$18*Assumptions!$C$23)</f>
        <v>0</v>
      </c>
      <c r="Y9" s="62" t="n">
        <f aca="false">Capacity!Y141*(1+Assumptions!$C$18*Assumptions!$C$23)</f>
        <v>0</v>
      </c>
      <c r="Z9" s="62" t="n">
        <f aca="false">Capacity!Z141*(1+Assumptions!$C$18*Assumptions!$C$23)</f>
        <v>0</v>
      </c>
      <c r="AA9" s="62" t="n">
        <f aca="false">Capacity!AA141*(1+Assumptions!$C$18*Assumptions!$C$23)</f>
        <v>0</v>
      </c>
      <c r="AB9" s="62" t="n">
        <f aca="false">Capacity!AB141*(1+Assumptions!$C$18*Assumptions!$C$23)</f>
        <v>0</v>
      </c>
    </row>
    <row r="10" customFormat="false" ht="15" hidden="false" customHeight="false" outlineLevel="0" collapsed="false">
      <c r="A10" s="29" t="s">
        <v>1409</v>
      </c>
      <c r="B10" s="60"/>
      <c r="E10" s="62" t="n">
        <f aca="false">Inputs_Actuals!$C$204</f>
        <v>31500</v>
      </c>
      <c r="F10" s="71" t="n">
        <f aca="false">E12</f>
        <v>8684.88799</v>
      </c>
      <c r="G10" s="71" t="n">
        <f aca="false">F12</f>
        <v>10135.76231</v>
      </c>
      <c r="H10" s="71" t="n">
        <f aca="false">G12</f>
        <v>3031.22156</v>
      </c>
      <c r="I10" s="71" t="n">
        <f aca="false">H12</f>
        <v>19826.357125</v>
      </c>
      <c r="J10" s="71" t="n">
        <f aca="false">I12</f>
        <v>44771.49708</v>
      </c>
      <c r="K10" s="71" t="n">
        <f aca="false">J12</f>
        <v>52865.027485</v>
      </c>
      <c r="L10" s="71" t="n">
        <f aca="false">K12</f>
        <v>23775.292945</v>
      </c>
      <c r="M10" s="71" t="n">
        <f aca="false">L12</f>
        <v>15088.84159</v>
      </c>
      <c r="N10" s="71" t="n">
        <f aca="false">M12</f>
        <v>44973.1880456479</v>
      </c>
      <c r="O10" s="71" t="n">
        <f aca="false">N12</f>
        <v>20188.754385353</v>
      </c>
      <c r="P10" s="71" t="n">
        <f aca="false">O12</f>
        <v>5690.35657053398</v>
      </c>
      <c r="Q10" s="71" t="n">
        <f aca="false">P12</f>
        <v>19078.3834339666</v>
      </c>
      <c r="R10" s="71" t="n">
        <f aca="false">Q12</f>
        <v>17591.1005682754</v>
      </c>
      <c r="S10" s="71" t="n">
        <f aca="false">R12</f>
        <v>17695.717563669</v>
      </c>
      <c r="T10" s="71" t="n">
        <f aca="false">S12</f>
        <v>48.8037887485734</v>
      </c>
      <c r="U10" s="71" t="n">
        <f aca="false">T12</f>
        <v>0</v>
      </c>
      <c r="V10" s="71" t="n">
        <f aca="false">U12</f>
        <v>0</v>
      </c>
      <c r="W10" s="71" t="n">
        <f aca="false">V12</f>
        <v>0</v>
      </c>
      <c r="X10" s="71" t="n">
        <f aca="false">W12</f>
        <v>0</v>
      </c>
      <c r="Y10" s="71" t="n">
        <f aca="false">X12</f>
        <v>0</v>
      </c>
      <c r="Z10" s="71" t="n">
        <f aca="false">Y12</f>
        <v>0</v>
      </c>
      <c r="AA10" s="71" t="n">
        <f aca="false">Z12</f>
        <v>0</v>
      </c>
      <c r="AB10" s="71" t="n">
        <f aca="false">AA12</f>
        <v>0</v>
      </c>
    </row>
    <row r="11" customFormat="false" ht="15" hidden="false" customHeight="false" outlineLevel="0" collapsed="false">
      <c r="A11" s="29" t="s">
        <v>1410</v>
      </c>
      <c r="B11" s="60" t="s">
        <v>1411</v>
      </c>
      <c r="C11" s="61" t="n">
        <f aca="false">SUM(E11:P11)</f>
        <v>280004.490591535</v>
      </c>
      <c r="D11" s="61" t="n">
        <f aca="false">SUM(Q11:AB11)</f>
        <v>54414.0053546596</v>
      </c>
      <c r="E11" s="62" t="n">
        <f aca="false">IF(E$5="A",Inputs_Actuals!E189,E10+E9-(E9*MIN(1,Assumptions!$C$149/30)+0*MIN(1,MAX(0,(Assumptions!$C$149-30)/30))))</f>
        <v>30857.64</v>
      </c>
      <c r="F11" s="62" t="n">
        <f aca="false">IF(F$5="A",Inputs_Actuals!F189,F10+F9-(F9*MIN(1,Assumptions!$C$149/30)+E9*MIN(1,MAX(0,(Assumptions!$C$149-30)/30))))</f>
        <v>8611.99</v>
      </c>
      <c r="G11" s="62" t="n">
        <f aca="false">IF(G$5="A",Inputs_Actuals!G189,G10+G9-(G9*MIN(1,Assumptions!$C$149/30)+F9*MIN(1,MAX(0,(Assumptions!$C$149-30)/30))))</f>
        <v>10123.86</v>
      </c>
      <c r="H11" s="62" t="n">
        <f aca="false">IF(H$5="A",Inputs_Actuals!H189,H10+H9-(H9*MIN(1,Assumptions!$C$149/30)+G9*MIN(1,MAX(0,(Assumptions!$C$149-30)/30))))</f>
        <v>1925.12</v>
      </c>
      <c r="I11" s="62" t="n">
        <f aca="false">IF(I$5="A",Inputs_Actuals!I189,I10+I9-(I9*MIN(1,Assumptions!$C$149/30)+H9*MIN(1,MAX(0,(Assumptions!$C$149-30)/30))))</f>
        <v>17908.6</v>
      </c>
      <c r="J11" s="62" t="n">
        <f aca="false">IF(J$5="A",Inputs_Actuals!J189,J10+J9-(J9*MIN(1,Assumptions!$C$149/30)+I9*MIN(1,MAX(0,(Assumptions!$C$149-30)/30))))</f>
        <v>48475.55</v>
      </c>
      <c r="K11" s="62" t="n">
        <f aca="false">IF(K$5="A",Inputs_Actuals!K189,K10+K9-(K9*MIN(1,Assumptions!$C$149/30)+J9*MIN(1,MAX(0,(Assumptions!$C$149-30)/30))))</f>
        <v>52164.14</v>
      </c>
      <c r="L11" s="62" t="n">
        <f aca="false">IF(L$5="A",Inputs_Actuals!L189,L10+L9-(L9*MIN(1,Assumptions!$C$149/30)+K9*MIN(1,MAX(0,(Assumptions!$C$149-30)/30))))</f>
        <v>23996.45</v>
      </c>
      <c r="M11" s="62" t="n">
        <f aca="false">IF(M$5="A",Inputs_Actuals!M189,M10+M9-(M9*MIN(1,Assumptions!$C$149/30)+L9*MIN(1,MAX(0,(Assumptions!$C$149-30)/30))))</f>
        <v>15088.84159</v>
      </c>
      <c r="N11" s="62" t="n">
        <f aca="false">IF(N$5="A",Inputs_Actuals!N189,N10+N9-(N9*MIN(1,Assumptions!$C$149/30)+M9*MIN(1,MAX(0,(Assumptions!$C$149-30)/30))))</f>
        <v>44973.1880456479</v>
      </c>
      <c r="O11" s="62" t="n">
        <f aca="false">IF(O$5="A",Inputs_Actuals!O189,O10+O9-(O9*MIN(1,Assumptions!$C$149/30)+N9*MIN(1,MAX(0,(Assumptions!$C$149-30)/30))))</f>
        <v>20188.754385353</v>
      </c>
      <c r="P11" s="62" t="n">
        <f aca="false">IF(P$5="A",Inputs_Actuals!P189,P10+P9-(P9*MIN(1,Assumptions!$C$149/30)+O9*MIN(1,MAX(0,(Assumptions!$C$149-30)/30))))</f>
        <v>5690.35657053398</v>
      </c>
      <c r="Q11" s="62" t="n">
        <f aca="false">IF(Q$5="A",Inputs_Actuals!Q189,Q10+Q9-(Q9*MIN(1,Assumptions!$C$149/30)+P9*MIN(1,MAX(0,(Assumptions!$C$149-30)/30))))</f>
        <v>19078.3834339666</v>
      </c>
      <c r="R11" s="62" t="n">
        <f aca="false">IF(R$5="A",Inputs_Actuals!R189,R10+R9-(R9*MIN(1,Assumptions!$C$149/30)+Q9*MIN(1,MAX(0,(Assumptions!$C$149-30)/30))))</f>
        <v>17591.1005682754</v>
      </c>
      <c r="S11" s="62" t="n">
        <f aca="false">IF(S$5="A",Inputs_Actuals!S189,S10+S9-(S9*MIN(1,Assumptions!$C$149/30)+R9*MIN(1,MAX(0,(Assumptions!$C$149-30)/30))))</f>
        <v>17695.717563669</v>
      </c>
      <c r="T11" s="62" t="n">
        <f aca="false">IF(T$5="A",Inputs_Actuals!T189,T10+T9-(T9*MIN(1,Assumptions!$C$149/30)+S9*MIN(1,MAX(0,(Assumptions!$C$149-30)/30))))</f>
        <v>48.8037887485734</v>
      </c>
      <c r="U11" s="62" t="n">
        <f aca="false">IF(U$5="A",Inputs_Actuals!U189,U10+U9-(U9*MIN(1,Assumptions!$C$149/30)+T9*MIN(1,MAX(0,(Assumptions!$C$149-30)/30))))</f>
        <v>0</v>
      </c>
      <c r="V11" s="62" t="n">
        <f aca="false">IF(V$5="A",Inputs_Actuals!V189,V10+V9-(V9*MIN(1,Assumptions!$C$149/30)+U9*MIN(1,MAX(0,(Assumptions!$C$149-30)/30))))</f>
        <v>0</v>
      </c>
      <c r="W11" s="62" t="n">
        <f aca="false">IF(W$5="A",Inputs_Actuals!W189,W10+W9-(W9*MIN(1,Assumptions!$C$149/30)+V9*MIN(1,MAX(0,(Assumptions!$C$149-30)/30))))</f>
        <v>0</v>
      </c>
      <c r="X11" s="62" t="n">
        <f aca="false">IF(X$5="A",Inputs_Actuals!X189,X10+X9-(X9*MIN(1,Assumptions!$C$149/30)+W9*MIN(1,MAX(0,(Assumptions!$C$149-30)/30))))</f>
        <v>0</v>
      </c>
      <c r="Y11" s="62" t="n">
        <f aca="false">IF(Y$5="A",Inputs_Actuals!Y189,Y10+Y9-(Y9*MIN(1,Assumptions!$C$149/30)+X9*MIN(1,MAX(0,(Assumptions!$C$149-30)/30))))</f>
        <v>0</v>
      </c>
      <c r="Z11" s="62" t="n">
        <f aca="false">IF(Z$5="A",Inputs_Actuals!Z189,Z10+Z9-(Z9*MIN(1,Assumptions!$C$149/30)+Y9*MIN(1,MAX(0,(Assumptions!$C$149-30)/30))))</f>
        <v>0</v>
      </c>
      <c r="AA11" s="62" t="n">
        <f aca="false">IF(AA$5="A",Inputs_Actuals!AA189,AA10+AA9-(AA9*MIN(1,Assumptions!$C$149/30)+Z9*MIN(1,MAX(0,(Assumptions!$C$149-30)/30))))</f>
        <v>0</v>
      </c>
      <c r="AB11" s="62" t="n">
        <f aca="false">IF(AB$5="A",Inputs_Actuals!AB189,AB10+AB9-(AB9*MIN(1,Assumptions!$C$149/30)+AA9*MIN(1,MAX(0,(Assumptions!$C$149-30)/30))))</f>
        <v>0</v>
      </c>
    </row>
    <row r="12" customFormat="false" ht="15" hidden="false" customHeight="false" outlineLevel="0" collapsed="false">
      <c r="A12" s="68" t="s">
        <v>1412</v>
      </c>
      <c r="B12" s="69"/>
      <c r="C12" s="70" t="n">
        <f aca="false">P12</f>
        <v>19078.3834339666</v>
      </c>
      <c r="D12" s="70" t="n">
        <f aca="false">AB12</f>
        <v>0</v>
      </c>
      <c r="E12" s="70" t="n">
        <f aca="false">E10+E9-E11</f>
        <v>8684.88799</v>
      </c>
      <c r="F12" s="70" t="n">
        <f aca="false">F10+F9-F11</f>
        <v>10135.76231</v>
      </c>
      <c r="G12" s="70" t="n">
        <f aca="false">G10+G9-G11</f>
        <v>3031.22156</v>
      </c>
      <c r="H12" s="70" t="n">
        <f aca="false">H10+H9-H11</f>
        <v>19826.357125</v>
      </c>
      <c r="I12" s="70" t="n">
        <f aca="false">I10+I9-I11</f>
        <v>44771.49708</v>
      </c>
      <c r="J12" s="70" t="n">
        <f aca="false">J10+J9-J11</f>
        <v>52865.027485</v>
      </c>
      <c r="K12" s="70" t="n">
        <f aca="false">K10+K9-K11</f>
        <v>23775.292945</v>
      </c>
      <c r="L12" s="70" t="n">
        <f aca="false">L10+L9-L11</f>
        <v>15088.84159</v>
      </c>
      <c r="M12" s="70" t="n">
        <f aca="false">M10+M9-M11</f>
        <v>44973.1880456479</v>
      </c>
      <c r="N12" s="70" t="n">
        <f aca="false">N10+N9-N11</f>
        <v>20188.754385353</v>
      </c>
      <c r="O12" s="70" t="n">
        <f aca="false">O10+O9-O11</f>
        <v>5690.35657053398</v>
      </c>
      <c r="P12" s="70" t="n">
        <f aca="false">P10+P9-P11</f>
        <v>19078.3834339666</v>
      </c>
      <c r="Q12" s="70" t="n">
        <f aca="false">Q10+Q9-Q11</f>
        <v>17591.1005682754</v>
      </c>
      <c r="R12" s="70" t="n">
        <f aca="false">R10+R9-R11</f>
        <v>17695.717563669</v>
      </c>
      <c r="S12" s="70" t="n">
        <f aca="false">S10+S9-S11</f>
        <v>48.8037887485734</v>
      </c>
      <c r="T12" s="70" t="n">
        <f aca="false">T10+T9-T11</f>
        <v>0</v>
      </c>
      <c r="U12" s="70" t="n">
        <f aca="false">U10+U9-U11</f>
        <v>0</v>
      </c>
      <c r="V12" s="70" t="n">
        <f aca="false">V10+V9-V11</f>
        <v>0</v>
      </c>
      <c r="W12" s="70" t="n">
        <f aca="false">W10+W9-W11</f>
        <v>0</v>
      </c>
      <c r="X12" s="70" t="n">
        <f aca="false">X10+X9-X11</f>
        <v>0</v>
      </c>
      <c r="Y12" s="70" t="n">
        <f aca="false">Y10+Y9-Y11</f>
        <v>0</v>
      </c>
      <c r="Z12" s="70" t="n">
        <f aca="false">Z10+Z9-Z11</f>
        <v>0</v>
      </c>
      <c r="AA12" s="70" t="n">
        <f aca="false">AA10+AA9-AA11</f>
        <v>0</v>
      </c>
      <c r="AB12" s="70" t="n">
        <f aca="false">AB10+AB9-AB11</f>
        <v>0</v>
      </c>
    </row>
    <row r="13" customFormat="false" ht="15" hidden="false" customHeight="false" outlineLevel="0" collapsed="false">
      <c r="A13" s="23" t="s">
        <v>1413</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row>
    <row r="14" customFormat="false" ht="15" hidden="false" customHeight="false" outlineLevel="0" collapsed="false">
      <c r="A14" s="29" t="s">
        <v>1408</v>
      </c>
      <c r="B14" s="60"/>
      <c r="C14" s="61" t="n">
        <f aca="false">SUM(E14:P14)</f>
        <v>547497.85696472</v>
      </c>
      <c r="D14" s="61" t="n">
        <f aca="false">SUM(Q14:AB14)</f>
        <v>550501.994960012</v>
      </c>
      <c r="E14" s="62" t="n">
        <f aca="false">Engagements!E601*(1+Assumptions!$C$24)</f>
        <v>30736.8882</v>
      </c>
      <c r="F14" s="62" t="n">
        <f aca="false">Engagements!F601*(1+Assumptions!$C$24)</f>
        <v>39042.0233</v>
      </c>
      <c r="G14" s="62" t="n">
        <f aca="false">Engagements!G601*(1+Assumptions!$C$24)</f>
        <v>46168.5305</v>
      </c>
      <c r="H14" s="62" t="n">
        <f aca="false">Engagements!H601*(1+Assumptions!$C$24)</f>
        <v>38099.6747</v>
      </c>
      <c r="I14" s="62" t="n">
        <f aca="false">Engagements!I601*(1+Assumptions!$C$24)</f>
        <v>40943.1795</v>
      </c>
      <c r="J14" s="62" t="n">
        <f aca="false">Engagements!J601*(1+Assumptions!$C$24)</f>
        <v>57937.8927</v>
      </c>
      <c r="K14" s="62" t="n">
        <f aca="false">Engagements!K601*(1+Assumptions!$C$24)</f>
        <v>48874.9351</v>
      </c>
      <c r="L14" s="62" t="n">
        <f aca="false">Engagements!L601*(1+Assumptions!$C$24)</f>
        <v>38548.3405</v>
      </c>
      <c r="M14" s="62" t="n">
        <f aca="false">Engagements!M601*(1+Assumptions!$C$24)</f>
        <v>58794.1355525244</v>
      </c>
      <c r="N14" s="62" t="n">
        <f aca="false">Engagements!N601*(1+Assumptions!$C$24)</f>
        <v>50572.1491262388</v>
      </c>
      <c r="O14" s="62" t="n">
        <f aca="false">Engagements!O601*(1+Assumptions!$C$24)</f>
        <v>46890.3623062649</v>
      </c>
      <c r="P14" s="62" t="n">
        <f aca="false">Engagements!P601*(1+Assumptions!$C$24)</f>
        <v>50889.7454796915</v>
      </c>
      <c r="Q14" s="62" t="n">
        <f aca="false">Engagements!Q601*(1+Assumptions!$C$24)</f>
        <v>48927.4877538777</v>
      </c>
      <c r="R14" s="62" t="n">
        <f aca="false">Engagements!R601*(1+Assumptions!$C$24)</f>
        <v>50964.0962509951</v>
      </c>
      <c r="S14" s="62" t="n">
        <f aca="false">Engagements!S601*(1+Assumptions!$C$24)</f>
        <v>51277.5751238804</v>
      </c>
      <c r="T14" s="62" t="n">
        <f aca="false">Engagements!T601*(1+Assumptions!$C$24)</f>
        <v>50509.8034757319</v>
      </c>
      <c r="U14" s="62" t="n">
        <f aca="false">Engagements!U601*(1+Assumptions!$C$24)</f>
        <v>38452.7772949704</v>
      </c>
      <c r="V14" s="62" t="n">
        <f aca="false">Engagements!V601*(1+Assumptions!$C$24)</f>
        <v>49150.8747021075</v>
      </c>
      <c r="W14" s="62" t="n">
        <f aca="false">Engagements!W601*(1+Assumptions!$C$24)</f>
        <v>45906.210804418</v>
      </c>
      <c r="X14" s="62" t="n">
        <f aca="false">Engagements!X601*(1+Assumptions!$C$24)</f>
        <v>37832.4324422024</v>
      </c>
      <c r="Y14" s="62" t="n">
        <f aca="false">Engagements!Y601*(1+Assumptions!$C$24)</f>
        <v>47080.7858278587</v>
      </c>
      <c r="Z14" s="62" t="n">
        <f aca="false">Engagements!Z601*(1+Assumptions!$C$24)</f>
        <v>41154.8636608627</v>
      </c>
      <c r="AA14" s="62" t="n">
        <f aca="false">Engagements!AA601*(1+Assumptions!$C$24)</f>
        <v>42871.4279191937</v>
      </c>
      <c r="AB14" s="62" t="n">
        <f aca="false">Engagements!AB601*(1+Assumptions!$C$24)</f>
        <v>46373.6597039131</v>
      </c>
    </row>
    <row r="15" customFormat="false" ht="15" hidden="false" customHeight="false" outlineLevel="0" collapsed="false">
      <c r="A15" s="29" t="s">
        <v>1409</v>
      </c>
      <c r="B15" s="60"/>
      <c r="E15" s="62" t="n">
        <f aca="false">Inputs_Actuals!$C$205</f>
        <v>12400</v>
      </c>
      <c r="F15" s="71" t="n">
        <f aca="false">E17</f>
        <v>15579.9582</v>
      </c>
      <c r="G15" s="71" t="n">
        <f aca="false">F17</f>
        <v>19244.3515</v>
      </c>
      <c r="H15" s="71" t="n">
        <f aca="false">G17</f>
        <v>24125.202</v>
      </c>
      <c r="I15" s="71" t="n">
        <f aca="false">H17</f>
        <v>19285.1067</v>
      </c>
      <c r="J15" s="71" t="n">
        <f aca="false">I17</f>
        <v>19822.8362</v>
      </c>
      <c r="K15" s="71" t="n">
        <f aca="false">J17</f>
        <v>30654.4589</v>
      </c>
      <c r="L15" s="71" t="n">
        <f aca="false">K17</f>
        <v>23581.694</v>
      </c>
      <c r="M15" s="71" t="n">
        <f aca="false">L17</f>
        <v>20639.1345</v>
      </c>
      <c r="N15" s="71" t="n">
        <f aca="false">M17</f>
        <v>29397.0677762622</v>
      </c>
      <c r="O15" s="71" t="n">
        <f aca="false">N17</f>
        <v>25286.0745631194</v>
      </c>
      <c r="P15" s="71" t="n">
        <f aca="false">O17</f>
        <v>23445.1811531324</v>
      </c>
      <c r="Q15" s="71" t="n">
        <f aca="false">P17</f>
        <v>25444.8727398458</v>
      </c>
      <c r="R15" s="71" t="n">
        <f aca="false">Q17</f>
        <v>24463.7438769389</v>
      </c>
      <c r="S15" s="71" t="n">
        <f aca="false">R17</f>
        <v>25482.0481254976</v>
      </c>
      <c r="T15" s="71" t="n">
        <f aca="false">S17</f>
        <v>25638.7875619402</v>
      </c>
      <c r="U15" s="71" t="n">
        <f aca="false">T17</f>
        <v>25254.901737866</v>
      </c>
      <c r="V15" s="71" t="n">
        <f aca="false">U17</f>
        <v>19226.3886474852</v>
      </c>
      <c r="W15" s="71" t="n">
        <f aca="false">V17</f>
        <v>24575.4373510537</v>
      </c>
      <c r="X15" s="71" t="n">
        <f aca="false">W17</f>
        <v>22953.105402209</v>
      </c>
      <c r="Y15" s="71" t="n">
        <f aca="false">X17</f>
        <v>18916.2162211012</v>
      </c>
      <c r="Z15" s="71" t="n">
        <f aca="false">Y17</f>
        <v>23540.3929139293</v>
      </c>
      <c r="AA15" s="71" t="n">
        <f aca="false">Z17</f>
        <v>20577.4318304314</v>
      </c>
      <c r="AB15" s="71" t="n">
        <f aca="false">AA17</f>
        <v>21435.7139595968</v>
      </c>
    </row>
    <row r="16" customFormat="false" ht="15" hidden="false" customHeight="false" outlineLevel="0" collapsed="false">
      <c r="A16" s="29" t="s">
        <v>1410</v>
      </c>
      <c r="B16" s="60" t="s">
        <v>1411</v>
      </c>
      <c r="C16" s="61" t="n">
        <f aca="false">SUM(E16:P16)</f>
        <v>534452.984224874</v>
      </c>
      <c r="D16" s="61" t="n">
        <f aca="false">SUM(Q16:AB16)</f>
        <v>552760.037847901</v>
      </c>
      <c r="E16" s="62" t="n">
        <f aca="false">IF(E$5="A",Inputs_Actuals!E190,E15+E14-(E14*MIN(1,Assumptions!$C$150/30)+0*MIN(1,MAX(0,(Assumptions!$C$150-30)/30))))</f>
        <v>27556.93</v>
      </c>
      <c r="F16" s="62" t="n">
        <f aca="false">IF(F$5="A",Inputs_Actuals!F190,F15+F14-(F14*MIN(1,Assumptions!$C$150/30)+E14*MIN(1,MAX(0,(Assumptions!$C$150-30)/30))))</f>
        <v>35377.63</v>
      </c>
      <c r="G16" s="62" t="n">
        <f aca="false">IF(G$5="A",Inputs_Actuals!G190,G15+G14-(G14*MIN(1,Assumptions!$C$150/30)+F14*MIN(1,MAX(0,(Assumptions!$C$150-30)/30))))</f>
        <v>41287.68</v>
      </c>
      <c r="H16" s="62" t="n">
        <f aca="false">IF(H$5="A",Inputs_Actuals!H190,H15+H14-(H14*MIN(1,Assumptions!$C$150/30)+G14*MIN(1,MAX(0,(Assumptions!$C$150-30)/30))))</f>
        <v>42939.77</v>
      </c>
      <c r="I16" s="62" t="n">
        <f aca="false">IF(I$5="A",Inputs_Actuals!I190,I15+I14-(I14*MIN(1,Assumptions!$C$150/30)+H14*MIN(1,MAX(0,(Assumptions!$C$150-30)/30))))</f>
        <v>40405.45</v>
      </c>
      <c r="J16" s="62" t="n">
        <f aca="false">IF(J$5="A",Inputs_Actuals!J190,J15+J14-(J14*MIN(1,Assumptions!$C$150/30)+I14*MIN(1,MAX(0,(Assumptions!$C$150-30)/30))))</f>
        <v>47106.27</v>
      </c>
      <c r="K16" s="62" t="n">
        <f aca="false">IF(K$5="A",Inputs_Actuals!K190,K15+K14-(K14*MIN(1,Assumptions!$C$150/30)+J14*MIN(1,MAX(0,(Assumptions!$C$150-30)/30))))</f>
        <v>55947.7</v>
      </c>
      <c r="L16" s="62" t="n">
        <f aca="false">IF(L$5="A",Inputs_Actuals!L190,L15+L14-(L14*MIN(1,Assumptions!$C$150/30)+K14*MIN(1,MAX(0,(Assumptions!$C$150-30)/30))))</f>
        <v>41490.9</v>
      </c>
      <c r="M16" s="62" t="n">
        <f aca="false">IF(M$5="A",Inputs_Actuals!M190,M15+M14-(M14*MIN(1,Assumptions!$C$150/30)+L14*MIN(1,MAX(0,(Assumptions!$C$150-30)/30))))</f>
        <v>50036.2022762622</v>
      </c>
      <c r="N16" s="62" t="n">
        <f aca="false">IF(N$5="A",Inputs_Actuals!N190,N15+N14-(N14*MIN(1,Assumptions!$C$150/30)+M14*MIN(1,MAX(0,(Assumptions!$C$150-30)/30))))</f>
        <v>54683.1423393816</v>
      </c>
      <c r="O16" s="62" t="n">
        <f aca="false">IF(O$5="A",Inputs_Actuals!O190,O15+O14-(O14*MIN(1,Assumptions!$C$150/30)+N14*MIN(1,MAX(0,(Assumptions!$C$150-30)/30))))</f>
        <v>48731.2557162518</v>
      </c>
      <c r="P16" s="62" t="n">
        <f aca="false">IF(P$5="A",Inputs_Actuals!P190,P15+P14-(P14*MIN(1,Assumptions!$C$150/30)+O14*MIN(1,MAX(0,(Assumptions!$C$150-30)/30))))</f>
        <v>48890.0538929782</v>
      </c>
      <c r="Q16" s="62" t="n">
        <f aca="false">IF(Q$5="A",Inputs_Actuals!Q190,Q15+Q14-(Q14*MIN(1,Assumptions!$C$150/30)+P14*MIN(1,MAX(0,(Assumptions!$C$150-30)/30))))</f>
        <v>49908.6166167846</v>
      </c>
      <c r="R16" s="62" t="n">
        <f aca="false">IF(R$5="A",Inputs_Actuals!R190,R15+R14-(R14*MIN(1,Assumptions!$C$150/30)+Q14*MIN(1,MAX(0,(Assumptions!$C$150-30)/30))))</f>
        <v>49945.7920024364</v>
      </c>
      <c r="S16" s="62" t="n">
        <f aca="false">IF(S$5="A",Inputs_Actuals!S190,S15+S14-(S14*MIN(1,Assumptions!$C$150/30)+R14*MIN(1,MAX(0,(Assumptions!$C$150-30)/30))))</f>
        <v>51120.8356874378</v>
      </c>
      <c r="T16" s="62" t="n">
        <f aca="false">IF(T$5="A",Inputs_Actuals!T190,T15+T14-(T14*MIN(1,Assumptions!$C$150/30)+S14*MIN(1,MAX(0,(Assumptions!$C$150-30)/30))))</f>
        <v>50893.6892998062</v>
      </c>
      <c r="U16" s="62" t="n">
        <f aca="false">IF(U$5="A",Inputs_Actuals!U190,U15+U14-(U14*MIN(1,Assumptions!$C$150/30)+T14*MIN(1,MAX(0,(Assumptions!$C$150-30)/30))))</f>
        <v>44481.2903853512</v>
      </c>
      <c r="V16" s="62" t="n">
        <f aca="false">IF(V$5="A",Inputs_Actuals!V190,V15+V14-(V14*MIN(1,Assumptions!$C$150/30)+U14*MIN(1,MAX(0,(Assumptions!$C$150-30)/30))))</f>
        <v>43801.8259985389</v>
      </c>
      <c r="W16" s="62" t="n">
        <f aca="false">IF(W$5="A",Inputs_Actuals!W190,W15+W14-(W14*MIN(1,Assumptions!$C$150/30)+V14*MIN(1,MAX(0,(Assumptions!$C$150-30)/30))))</f>
        <v>47528.5427532627</v>
      </c>
      <c r="X16" s="62" t="n">
        <f aca="false">IF(X$5="A",Inputs_Actuals!X190,X15+X14-(X14*MIN(1,Assumptions!$C$150/30)+W14*MIN(1,MAX(0,(Assumptions!$C$150-30)/30))))</f>
        <v>41869.3216233102</v>
      </c>
      <c r="Y16" s="62" t="n">
        <f aca="false">IF(Y$5="A",Inputs_Actuals!Y190,Y15+Y14-(Y14*MIN(1,Assumptions!$C$150/30)+X14*MIN(1,MAX(0,(Assumptions!$C$150-30)/30))))</f>
        <v>42456.6091350305</v>
      </c>
      <c r="Z16" s="62" t="n">
        <f aca="false">IF(Z$5="A",Inputs_Actuals!Z190,Z15+Z14-(Z14*MIN(1,Assumptions!$C$150/30)+Y14*MIN(1,MAX(0,(Assumptions!$C$150-30)/30))))</f>
        <v>44117.8247443607</v>
      </c>
      <c r="AA16" s="62" t="n">
        <f aca="false">IF(AA$5="A",Inputs_Actuals!AA190,AA15+AA14-(AA14*MIN(1,Assumptions!$C$150/30)+Z14*MIN(1,MAX(0,(Assumptions!$C$150-30)/30))))</f>
        <v>42013.1457900282</v>
      </c>
      <c r="AB16" s="62" t="n">
        <f aca="false">IF(AB$5="A",Inputs_Actuals!AB190,AB15+AB14-(AB14*MIN(1,Assumptions!$C$150/30)+AA14*MIN(1,MAX(0,(Assumptions!$C$150-30)/30))))</f>
        <v>44622.5438115534</v>
      </c>
    </row>
    <row r="17" customFormat="false" ht="15" hidden="false" customHeight="false" outlineLevel="0" collapsed="false">
      <c r="A17" s="68" t="s">
        <v>1412</v>
      </c>
      <c r="B17" s="69"/>
      <c r="C17" s="70" t="n">
        <f aca="false">P17</f>
        <v>25444.8727398458</v>
      </c>
      <c r="D17" s="70" t="n">
        <f aca="false">AB17</f>
        <v>23186.8298519565</v>
      </c>
      <c r="E17" s="70" t="n">
        <f aca="false">E15+E14-E16</f>
        <v>15579.9582</v>
      </c>
      <c r="F17" s="70" t="n">
        <f aca="false">F15+F14-F16</f>
        <v>19244.3515</v>
      </c>
      <c r="G17" s="70" t="n">
        <f aca="false">G15+G14-G16</f>
        <v>24125.202</v>
      </c>
      <c r="H17" s="70" t="n">
        <f aca="false">H15+H14-H16</f>
        <v>19285.1067</v>
      </c>
      <c r="I17" s="70" t="n">
        <f aca="false">I15+I14-I16</f>
        <v>19822.8362</v>
      </c>
      <c r="J17" s="70" t="n">
        <f aca="false">J15+J14-J16</f>
        <v>30654.4589</v>
      </c>
      <c r="K17" s="70" t="n">
        <f aca="false">K15+K14-K16</f>
        <v>23581.694</v>
      </c>
      <c r="L17" s="70" t="n">
        <f aca="false">L15+L14-L16</f>
        <v>20639.1345</v>
      </c>
      <c r="M17" s="70" t="n">
        <f aca="false">M15+M14-M16</f>
        <v>29397.0677762622</v>
      </c>
      <c r="N17" s="70" t="n">
        <f aca="false">N15+N14-N16</f>
        <v>25286.0745631194</v>
      </c>
      <c r="O17" s="70" t="n">
        <f aca="false">O15+O14-O16</f>
        <v>23445.1811531324</v>
      </c>
      <c r="P17" s="70" t="n">
        <f aca="false">P15+P14-P16</f>
        <v>25444.8727398458</v>
      </c>
      <c r="Q17" s="70" t="n">
        <f aca="false">Q15+Q14-Q16</f>
        <v>24463.7438769389</v>
      </c>
      <c r="R17" s="70" t="n">
        <f aca="false">R15+R14-R16</f>
        <v>25482.0481254976</v>
      </c>
      <c r="S17" s="70" t="n">
        <f aca="false">S15+S14-S16</f>
        <v>25638.7875619402</v>
      </c>
      <c r="T17" s="70" t="n">
        <f aca="false">T15+T14-T16</f>
        <v>25254.901737866</v>
      </c>
      <c r="U17" s="70" t="n">
        <f aca="false">U15+U14-U16</f>
        <v>19226.3886474852</v>
      </c>
      <c r="V17" s="70" t="n">
        <f aca="false">V15+V14-V16</f>
        <v>24575.4373510537</v>
      </c>
      <c r="W17" s="70" t="n">
        <f aca="false">W15+W14-W16</f>
        <v>22953.105402209</v>
      </c>
      <c r="X17" s="70" t="n">
        <f aca="false">X15+X14-X16</f>
        <v>18916.2162211012</v>
      </c>
      <c r="Y17" s="70" t="n">
        <f aca="false">Y15+Y14-Y16</f>
        <v>23540.3929139293</v>
      </c>
      <c r="Z17" s="70" t="n">
        <f aca="false">Z15+Z14-Z16</f>
        <v>20577.4318304314</v>
      </c>
      <c r="AA17" s="70" t="n">
        <f aca="false">AA15+AA14-AA16</f>
        <v>21435.7139595968</v>
      </c>
      <c r="AB17" s="70" t="n">
        <f aca="false">AB15+AB14-AB16</f>
        <v>23186.8298519565</v>
      </c>
    </row>
    <row r="18" customFormat="false" ht="15" hidden="false" customHeight="false" outlineLevel="0" collapsed="false">
      <c r="A18" s="23" t="s">
        <v>1414</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row>
    <row r="19" customFormat="false" ht="15" hidden="false" customHeight="false" outlineLevel="0" collapsed="false">
      <c r="A19" s="29" t="s">
        <v>1408</v>
      </c>
      <c r="B19" s="60"/>
      <c r="C19" s="61" t="n">
        <f aca="false">SUM(E19:P19)</f>
        <v>794236.49</v>
      </c>
      <c r="D19" s="61" t="n">
        <f aca="false">SUM(Q19:AB19)</f>
        <v>809116.7896</v>
      </c>
      <c r="E19" s="62" t="n">
        <f aca="false">Overheads!E22*(1+Assumptions!$C$18*Overheads!$D$10)+Overheads!E23*(1+Assumptions!$C$18*Overheads!$D$11)+Overheads!E24*(1+Assumptions!$C$18*Overheads!$D$12)+Overheads!E25*(1+Assumptions!$C$18*Overheads!$D$13)+Overheads!E26*(1+Assumptions!$C$18*Overheads!$D$14)+Overheads!E27*(1+Assumptions!$C$18*Overheads!$D$15)+Overheads!E28*(1+Assumptions!$C$18*Overheads!$D$16)+Overheads!E29*(1+Assumptions!$C$18*Overheads!$D$17)+Overheads!E30*(1+Assumptions!$C$18*Overheads!$D$18)+Overheads!E31*(1+Assumptions!$C$18*Overheads!$D$19)</f>
        <v>55457.035</v>
      </c>
      <c r="F19" s="62" t="n">
        <f aca="false">Overheads!F22*(1+Assumptions!$C$18*Overheads!$D$10)+Overheads!F23*(1+Assumptions!$C$18*Overheads!$D$11)+Overheads!F24*(1+Assumptions!$C$18*Overheads!$D$12)+Overheads!F25*(1+Assumptions!$C$18*Overheads!$D$13)+Overheads!F26*(1+Assumptions!$C$18*Overheads!$D$14)+Overheads!F27*(1+Assumptions!$C$18*Overheads!$D$15)+Overheads!F28*(1+Assumptions!$C$18*Overheads!$D$16)+Overheads!F29*(1+Assumptions!$C$18*Overheads!$D$17)+Overheads!F30*(1+Assumptions!$C$18*Overheads!$D$18)+Overheads!F31*(1+Assumptions!$C$18*Overheads!$D$19)</f>
        <v>86887.287</v>
      </c>
      <c r="G19" s="62" t="n">
        <f aca="false">Overheads!G22*(1+Assumptions!$C$18*Overheads!$D$10)+Overheads!G23*(1+Assumptions!$C$18*Overheads!$D$11)+Overheads!G24*(1+Assumptions!$C$18*Overheads!$D$12)+Overheads!G25*(1+Assumptions!$C$18*Overheads!$D$13)+Overheads!G26*(1+Assumptions!$C$18*Overheads!$D$14)+Overheads!G27*(1+Assumptions!$C$18*Overheads!$D$15)+Overheads!G28*(1+Assumptions!$C$18*Overheads!$D$16)+Overheads!G29*(1+Assumptions!$C$18*Overheads!$D$17)+Overheads!G30*(1+Assumptions!$C$18*Overheads!$D$18)+Overheads!G31*(1+Assumptions!$C$18*Overheads!$D$19)</f>
        <v>66832.017</v>
      </c>
      <c r="H19" s="62" t="n">
        <f aca="false">Overheads!H22*(1+Assumptions!$C$18*Overheads!$D$10)+Overheads!H23*(1+Assumptions!$C$18*Overheads!$D$11)+Overheads!H24*(1+Assumptions!$C$18*Overheads!$D$12)+Overheads!H25*(1+Assumptions!$C$18*Overheads!$D$13)+Overheads!H26*(1+Assumptions!$C$18*Overheads!$D$14)+Overheads!H27*(1+Assumptions!$C$18*Overheads!$D$15)+Overheads!H28*(1+Assumptions!$C$18*Overheads!$D$16)+Overheads!H29*(1+Assumptions!$C$18*Overheads!$D$17)+Overheads!H30*(1+Assumptions!$C$18*Overheads!$D$18)+Overheads!H31*(1+Assumptions!$C$18*Overheads!$D$19)</f>
        <v>59439.999</v>
      </c>
      <c r="I19" s="62" t="n">
        <f aca="false">Overheads!I22*(1+Assumptions!$C$18*Overheads!$D$10)+Overheads!I23*(1+Assumptions!$C$18*Overheads!$D$11)+Overheads!I24*(1+Assumptions!$C$18*Overheads!$D$12)+Overheads!I25*(1+Assumptions!$C$18*Overheads!$D$13)+Overheads!I26*(1+Assumptions!$C$18*Overheads!$D$14)+Overheads!I27*(1+Assumptions!$C$18*Overheads!$D$15)+Overheads!I28*(1+Assumptions!$C$18*Overheads!$D$16)+Overheads!I29*(1+Assumptions!$C$18*Overheads!$D$17)+Overheads!I30*(1+Assumptions!$C$18*Overheads!$D$18)+Overheads!I31*(1+Assumptions!$C$18*Overheads!$D$19)</f>
        <v>66104.867</v>
      </c>
      <c r="J19" s="62" t="n">
        <f aca="false">Overheads!J22*(1+Assumptions!$C$18*Overheads!$D$10)+Overheads!J23*(1+Assumptions!$C$18*Overheads!$D$11)+Overheads!J24*(1+Assumptions!$C$18*Overheads!$D$12)+Overheads!J25*(1+Assumptions!$C$18*Overheads!$D$13)+Overheads!J26*(1+Assumptions!$C$18*Overheads!$D$14)+Overheads!J27*(1+Assumptions!$C$18*Overheads!$D$15)+Overheads!J28*(1+Assumptions!$C$18*Overheads!$D$16)+Overheads!J29*(1+Assumptions!$C$18*Overheads!$D$17)+Overheads!J30*(1+Assumptions!$C$18*Overheads!$D$18)+Overheads!J31*(1+Assumptions!$C$18*Overheads!$D$19)</f>
        <v>59285.533</v>
      </c>
      <c r="K19" s="62" t="n">
        <f aca="false">Overheads!K22*(1+Assumptions!$C$18*Overheads!$D$10)+Overheads!K23*(1+Assumptions!$C$18*Overheads!$D$11)+Overheads!K24*(1+Assumptions!$C$18*Overheads!$D$12)+Overheads!K25*(1+Assumptions!$C$18*Overheads!$D$13)+Overheads!K26*(1+Assumptions!$C$18*Overheads!$D$14)+Overheads!K27*(1+Assumptions!$C$18*Overheads!$D$15)+Overheads!K28*(1+Assumptions!$C$18*Overheads!$D$16)+Overheads!K29*(1+Assumptions!$C$18*Overheads!$D$17)+Overheads!K30*(1+Assumptions!$C$18*Overheads!$D$18)+Overheads!K31*(1+Assumptions!$C$18*Overheads!$D$19)</f>
        <v>77814.971</v>
      </c>
      <c r="L19" s="62" t="n">
        <f aca="false">Overheads!L22*(1+Assumptions!$C$18*Overheads!$D$10)+Overheads!L23*(1+Assumptions!$C$18*Overheads!$D$11)+Overheads!L24*(1+Assumptions!$C$18*Overheads!$D$12)+Overheads!L25*(1+Assumptions!$C$18*Overheads!$D$13)+Overheads!L26*(1+Assumptions!$C$18*Overheads!$D$14)+Overheads!L27*(1+Assumptions!$C$18*Overheads!$D$15)+Overheads!L28*(1+Assumptions!$C$18*Overheads!$D$16)+Overheads!L29*(1+Assumptions!$C$18*Overheads!$D$17)+Overheads!L30*(1+Assumptions!$C$18*Overheads!$D$18)+Overheads!L31*(1+Assumptions!$C$18*Overheads!$D$19)</f>
        <v>53473.381</v>
      </c>
      <c r="M19" s="62" t="n">
        <f aca="false">Overheads!M22*(1+Assumptions!$C$18*Overheads!$D$10)+Overheads!M23*(1+Assumptions!$C$18*Overheads!$D$11)+Overheads!M24*(1+Assumptions!$C$18*Overheads!$D$12)+Overheads!M25*(1+Assumptions!$C$18*Overheads!$D$13)+Overheads!M26*(1+Assumptions!$C$18*Overheads!$D$14)+Overheads!M27*(1+Assumptions!$C$18*Overheads!$D$15)+Overheads!M28*(1+Assumptions!$C$18*Overheads!$D$16)+Overheads!M29*(1+Assumptions!$C$18*Overheads!$D$17)+Overheads!M30*(1+Assumptions!$C$18*Overheads!$D$18)+Overheads!M31*(1+Assumptions!$C$18*Overheads!$D$19)</f>
        <v>66265.5</v>
      </c>
      <c r="N19" s="62" t="n">
        <f aca="false">Overheads!N22*(1+Assumptions!$C$18*Overheads!$D$10)+Overheads!N23*(1+Assumptions!$C$18*Overheads!$D$11)+Overheads!N24*(1+Assumptions!$C$18*Overheads!$D$12)+Overheads!N25*(1+Assumptions!$C$18*Overheads!$D$13)+Overheads!N26*(1+Assumptions!$C$18*Overheads!$D$14)+Overheads!N27*(1+Assumptions!$C$18*Overheads!$D$15)+Overheads!N28*(1+Assumptions!$C$18*Overheads!$D$16)+Overheads!N29*(1+Assumptions!$C$18*Overheads!$D$17)+Overheads!N30*(1+Assumptions!$C$18*Overheads!$D$18)+Overheads!N31*(1+Assumptions!$C$18*Overheads!$D$19)</f>
        <v>82044.9</v>
      </c>
      <c r="O19" s="62" t="n">
        <f aca="false">Overheads!O22*(1+Assumptions!$C$18*Overheads!$D$10)+Overheads!O23*(1+Assumptions!$C$18*Overheads!$D$11)+Overheads!O24*(1+Assumptions!$C$18*Overheads!$D$12)+Overheads!O25*(1+Assumptions!$C$18*Overheads!$D$13)+Overheads!O26*(1+Assumptions!$C$18*Overheads!$D$14)+Overheads!O27*(1+Assumptions!$C$18*Overheads!$D$15)+Overheads!O28*(1+Assumptions!$C$18*Overheads!$D$16)+Overheads!O29*(1+Assumptions!$C$18*Overheads!$D$17)+Overheads!O30*(1+Assumptions!$C$18*Overheads!$D$18)+Overheads!O31*(1+Assumptions!$C$18*Overheads!$D$19)</f>
        <v>60315.5</v>
      </c>
      <c r="P19" s="62" t="n">
        <f aca="false">Overheads!P22*(1+Assumptions!$C$18*Overheads!$D$10)+Overheads!P23*(1+Assumptions!$C$18*Overheads!$D$11)+Overheads!P24*(1+Assumptions!$C$18*Overheads!$D$12)+Overheads!P25*(1+Assumptions!$C$18*Overheads!$D$13)+Overheads!P26*(1+Assumptions!$C$18*Overheads!$D$14)+Overheads!P27*(1+Assumptions!$C$18*Overheads!$D$15)+Overheads!P28*(1+Assumptions!$C$18*Overheads!$D$16)+Overheads!P29*(1+Assumptions!$C$18*Overheads!$D$17)+Overheads!P30*(1+Assumptions!$C$18*Overheads!$D$18)+Overheads!P31*(1+Assumptions!$C$18*Overheads!$D$19)</f>
        <v>60315.5</v>
      </c>
      <c r="Q19" s="62" t="n">
        <f aca="false">Overheads!Q22*(1+Assumptions!$C$18*Overheads!$D$10)+Overheads!Q23*(1+Assumptions!$C$18*Overheads!$D$11)+Overheads!Q24*(1+Assumptions!$C$18*Overheads!$D$12)+Overheads!Q25*(1+Assumptions!$C$18*Overheads!$D$13)+Overheads!Q26*(1+Assumptions!$C$18*Overheads!$D$14)+Overheads!Q27*(1+Assumptions!$C$18*Overheads!$D$15)+Overheads!Q28*(1+Assumptions!$C$18*Overheads!$D$16)+Overheads!Q29*(1+Assumptions!$C$18*Overheads!$D$17)+Overheads!Q30*(1+Assumptions!$C$18*Overheads!$D$18)+Overheads!Q31*(1+Assumptions!$C$18*Overheads!$D$19)</f>
        <v>99970.773</v>
      </c>
      <c r="R19" s="62" t="n">
        <f aca="false">Overheads!R22*(1+Assumptions!$C$18*Overheads!$D$10)+Overheads!R23*(1+Assumptions!$C$18*Overheads!$D$11)+Overheads!R24*(1+Assumptions!$C$18*Overheads!$D$12)+Overheads!R25*(1+Assumptions!$C$18*Overheads!$D$13)+Overheads!R26*(1+Assumptions!$C$18*Overheads!$D$14)+Overheads!R27*(1+Assumptions!$C$18*Overheads!$D$15)+Overheads!R28*(1+Assumptions!$C$18*Overheads!$D$16)+Overheads!R29*(1+Assumptions!$C$18*Overheads!$D$17)+Overheads!R30*(1+Assumptions!$C$18*Overheads!$D$18)+Overheads!R31*(1+Assumptions!$C$18*Overheads!$D$19)</f>
        <v>62124.965</v>
      </c>
      <c r="S19" s="62" t="n">
        <f aca="false">Overheads!S22*(1+Assumptions!$C$18*Overheads!$D$10)+Overheads!S23*(1+Assumptions!$C$18*Overheads!$D$11)+Overheads!S24*(1+Assumptions!$C$18*Overheads!$D$12)+Overheads!S25*(1+Assumptions!$C$18*Overheads!$D$13)+Overheads!S26*(1+Assumptions!$C$18*Overheads!$D$14)+Overheads!S27*(1+Assumptions!$C$18*Overheads!$D$15)+Overheads!S28*(1+Assumptions!$C$18*Overheads!$D$16)+Overheads!S29*(1+Assumptions!$C$18*Overheads!$D$17)+Overheads!S30*(1+Assumptions!$C$18*Overheads!$D$18)+Overheads!S31*(1+Assumptions!$C$18*Overheads!$D$19)</f>
        <v>62124.965</v>
      </c>
      <c r="T19" s="62" t="n">
        <f aca="false">Overheads!T22*(1+Assumptions!$C$18*Overheads!$D$10)+Overheads!T23*(1+Assumptions!$C$18*Overheads!$D$11)+Overheads!T24*(1+Assumptions!$C$18*Overheads!$D$12)+Overheads!T25*(1+Assumptions!$C$18*Overheads!$D$13)+Overheads!T26*(1+Assumptions!$C$18*Overheads!$D$14)+Overheads!T27*(1+Assumptions!$C$18*Overheads!$D$15)+Overheads!T28*(1+Assumptions!$C$18*Overheads!$D$16)+Overheads!T29*(1+Assumptions!$C$18*Overheads!$D$17)+Overheads!T30*(1+Assumptions!$C$18*Overheads!$D$18)+Overheads!T31*(1+Assumptions!$C$18*Overheads!$D$19)</f>
        <v>81946.3666</v>
      </c>
      <c r="U19" s="62" t="n">
        <f aca="false">Overheads!U22*(1+Assumptions!$C$18*Overheads!$D$10)+Overheads!U23*(1+Assumptions!$C$18*Overheads!$D$11)+Overheads!U24*(1+Assumptions!$C$18*Overheads!$D$12)+Overheads!U25*(1+Assumptions!$C$18*Overheads!$D$13)+Overheads!U26*(1+Assumptions!$C$18*Overheads!$D$14)+Overheads!U27*(1+Assumptions!$C$18*Overheads!$D$15)+Overheads!U28*(1+Assumptions!$C$18*Overheads!$D$16)+Overheads!U29*(1+Assumptions!$C$18*Overheads!$D$17)+Overheads!U30*(1+Assumptions!$C$18*Overheads!$D$18)+Overheads!U31*(1+Assumptions!$C$18*Overheads!$D$19)</f>
        <v>62124.965</v>
      </c>
      <c r="V19" s="62" t="n">
        <f aca="false">Overheads!V22*(1+Assumptions!$C$18*Overheads!$D$10)+Overheads!V23*(1+Assumptions!$C$18*Overheads!$D$11)+Overheads!V24*(1+Assumptions!$C$18*Overheads!$D$12)+Overheads!V25*(1+Assumptions!$C$18*Overheads!$D$13)+Overheads!V26*(1+Assumptions!$C$18*Overheads!$D$14)+Overheads!V27*(1+Assumptions!$C$18*Overheads!$D$15)+Overheads!V28*(1+Assumptions!$C$18*Overheads!$D$16)+Overheads!V29*(1+Assumptions!$C$18*Overheads!$D$17)+Overheads!V30*(1+Assumptions!$C$18*Overheads!$D$18)+Overheads!V31*(1+Assumptions!$C$18*Overheads!$D$19)</f>
        <v>62124.965</v>
      </c>
      <c r="W19" s="62" t="n">
        <f aca="false">Overheads!W22*(1+Assumptions!$C$18*Overheads!$D$10)+Overheads!W23*(1+Assumptions!$C$18*Overheads!$D$11)+Overheads!W24*(1+Assumptions!$C$18*Overheads!$D$12)+Overheads!W25*(1+Assumptions!$C$18*Overheads!$D$13)+Overheads!W26*(1+Assumptions!$C$18*Overheads!$D$14)+Overheads!W27*(1+Assumptions!$C$18*Overheads!$D$15)+Overheads!W28*(1+Assumptions!$C$18*Overheads!$D$16)+Overheads!W29*(1+Assumptions!$C$18*Overheads!$D$17)+Overheads!W30*(1+Assumptions!$C$18*Overheads!$D$18)+Overheads!W31*(1+Assumptions!$C$18*Overheads!$D$19)</f>
        <v>62124.965</v>
      </c>
      <c r="X19" s="62" t="n">
        <f aca="false">Overheads!X22*(1+Assumptions!$C$18*Overheads!$D$10)+Overheads!X23*(1+Assumptions!$C$18*Overheads!$D$11)+Overheads!X24*(1+Assumptions!$C$18*Overheads!$D$12)+Overheads!X25*(1+Assumptions!$C$18*Overheads!$D$13)+Overheads!X26*(1+Assumptions!$C$18*Overheads!$D$14)+Overheads!X27*(1+Assumptions!$C$18*Overheads!$D$15)+Overheads!X28*(1+Assumptions!$C$18*Overheads!$D$16)+Overheads!X29*(1+Assumptions!$C$18*Overheads!$D$17)+Overheads!X30*(1+Assumptions!$C$18*Overheads!$D$18)+Overheads!X31*(1+Assumptions!$C$18*Overheads!$D$19)</f>
        <v>62124.965</v>
      </c>
      <c r="Y19" s="62" t="n">
        <f aca="false">Overheads!Y22*(1+Assumptions!$C$18*Overheads!$D$10)+Overheads!Y23*(1+Assumptions!$C$18*Overheads!$D$11)+Overheads!Y24*(1+Assumptions!$C$18*Overheads!$D$12)+Overheads!Y25*(1+Assumptions!$C$18*Overheads!$D$13)+Overheads!Y26*(1+Assumptions!$C$18*Overheads!$D$14)+Overheads!Y27*(1+Assumptions!$C$18*Overheads!$D$15)+Overheads!Y28*(1+Assumptions!$C$18*Overheads!$D$16)+Overheads!Y29*(1+Assumptions!$C$18*Overheads!$D$17)+Overheads!Y30*(1+Assumptions!$C$18*Overheads!$D$18)+Overheads!Y31*(1+Assumptions!$C$18*Overheads!$D$19)</f>
        <v>68074.965</v>
      </c>
      <c r="Z19" s="62" t="n">
        <f aca="false">Overheads!Z22*(1+Assumptions!$C$18*Overheads!$D$10)+Overheads!Z23*(1+Assumptions!$C$18*Overheads!$D$11)+Overheads!Z24*(1+Assumptions!$C$18*Overheads!$D$12)+Overheads!Z25*(1+Assumptions!$C$18*Overheads!$D$13)+Overheads!Z26*(1+Assumptions!$C$18*Overheads!$D$14)+Overheads!Z27*(1+Assumptions!$C$18*Overheads!$D$15)+Overheads!Z28*(1+Assumptions!$C$18*Overheads!$D$16)+Overheads!Z29*(1+Assumptions!$C$18*Overheads!$D$17)+Overheads!Z30*(1+Assumptions!$C$18*Overheads!$D$18)+Overheads!Z31*(1+Assumptions!$C$18*Overheads!$D$19)</f>
        <v>62124.965</v>
      </c>
      <c r="AA19" s="62" t="n">
        <f aca="false">Overheads!AA22*(1+Assumptions!$C$18*Overheads!$D$10)+Overheads!AA23*(1+Assumptions!$C$18*Overheads!$D$11)+Overheads!AA24*(1+Assumptions!$C$18*Overheads!$D$12)+Overheads!AA25*(1+Assumptions!$C$18*Overheads!$D$13)+Overheads!AA26*(1+Assumptions!$C$18*Overheads!$D$14)+Overheads!AA27*(1+Assumptions!$C$18*Overheads!$D$15)+Overheads!AA28*(1+Assumptions!$C$18*Overheads!$D$16)+Overheads!AA29*(1+Assumptions!$C$18*Overheads!$D$17)+Overheads!AA30*(1+Assumptions!$C$18*Overheads!$D$18)+Overheads!AA31*(1+Assumptions!$C$18*Overheads!$D$19)</f>
        <v>62124.965</v>
      </c>
      <c r="AB19" s="62" t="n">
        <f aca="false">Overheads!AB22*(1+Assumptions!$C$18*Overheads!$D$10)+Overheads!AB23*(1+Assumptions!$C$18*Overheads!$D$11)+Overheads!AB24*(1+Assumptions!$C$18*Overheads!$D$12)+Overheads!AB25*(1+Assumptions!$C$18*Overheads!$D$13)+Overheads!AB26*(1+Assumptions!$C$18*Overheads!$D$14)+Overheads!AB27*(1+Assumptions!$C$18*Overheads!$D$15)+Overheads!AB28*(1+Assumptions!$C$18*Overheads!$D$16)+Overheads!AB29*(1+Assumptions!$C$18*Overheads!$D$17)+Overheads!AB30*(1+Assumptions!$C$18*Overheads!$D$18)+Overheads!AB31*(1+Assumptions!$C$18*Overheads!$D$19)</f>
        <v>62124.965</v>
      </c>
    </row>
    <row r="20" customFormat="false" ht="15" hidden="false" customHeight="false" outlineLevel="0" collapsed="false">
      <c r="A20" s="29" t="s">
        <v>1409</v>
      </c>
      <c r="B20" s="60"/>
      <c r="E20" s="62" t="n">
        <f aca="false">Inputs_Actuals!$C$206</f>
        <v>41800</v>
      </c>
      <c r="F20" s="71" t="n">
        <f aca="false">E22</f>
        <v>25783.655</v>
      </c>
      <c r="G20" s="71" t="n">
        <f aca="false">F22</f>
        <v>42058.722</v>
      </c>
      <c r="H20" s="71" t="n">
        <f aca="false">G22</f>
        <v>33919.299</v>
      </c>
      <c r="I20" s="71" t="n">
        <f aca="false">H22</f>
        <v>30144.028</v>
      </c>
      <c r="J20" s="71" t="n">
        <f aca="false">I22</f>
        <v>33914.775</v>
      </c>
      <c r="K20" s="71" t="n">
        <f aca="false">J22</f>
        <v>29600.318</v>
      </c>
      <c r="L20" s="71" t="n">
        <f aca="false">K22</f>
        <v>39168.739</v>
      </c>
      <c r="M20" s="71" t="n">
        <f aca="false">L22</f>
        <v>26484.3</v>
      </c>
      <c r="N20" s="71" t="n">
        <f aca="false">M22</f>
        <v>33132.75</v>
      </c>
      <c r="O20" s="71" t="n">
        <f aca="false">N22</f>
        <v>41022.45</v>
      </c>
      <c r="P20" s="71" t="n">
        <f aca="false">O22</f>
        <v>30157.75</v>
      </c>
      <c r="Q20" s="71" t="n">
        <f aca="false">P22</f>
        <v>30157.75</v>
      </c>
      <c r="R20" s="71" t="n">
        <f aca="false">Q22</f>
        <v>49985.3865</v>
      </c>
      <c r="S20" s="71" t="n">
        <f aca="false">R22</f>
        <v>31062.4825</v>
      </c>
      <c r="T20" s="71" t="n">
        <f aca="false">S22</f>
        <v>31062.4825</v>
      </c>
      <c r="U20" s="71" t="n">
        <f aca="false">T22</f>
        <v>40973.1833</v>
      </c>
      <c r="V20" s="71" t="n">
        <f aca="false">U22</f>
        <v>31062.4825</v>
      </c>
      <c r="W20" s="71" t="n">
        <f aca="false">V22</f>
        <v>31062.4825</v>
      </c>
      <c r="X20" s="71" t="n">
        <f aca="false">W22</f>
        <v>31062.4825</v>
      </c>
      <c r="Y20" s="71" t="n">
        <f aca="false">X22</f>
        <v>31062.4825</v>
      </c>
      <c r="Z20" s="71" t="n">
        <f aca="false">Y22</f>
        <v>34037.4825</v>
      </c>
      <c r="AA20" s="71" t="n">
        <f aca="false">Z22</f>
        <v>31062.4825</v>
      </c>
      <c r="AB20" s="71" t="n">
        <f aca="false">AA22</f>
        <v>31062.4825</v>
      </c>
    </row>
    <row r="21" customFormat="false" ht="15" hidden="false" customHeight="false" outlineLevel="0" collapsed="false">
      <c r="A21" s="29" t="s">
        <v>1410</v>
      </c>
      <c r="B21" s="60" t="s">
        <v>1411</v>
      </c>
      <c r="C21" s="61" t="n">
        <f aca="false">SUM(E21:P21)</f>
        <v>805878.74</v>
      </c>
      <c r="D21" s="61" t="n">
        <f aca="false">SUM(Q21:AB21)</f>
        <v>808212.0571</v>
      </c>
      <c r="E21" s="62" t="n">
        <f aca="false">IF(E$5="A",Inputs_Actuals!E191,E20+E19-(E19*MIN(1,Assumptions!$C$151/30)+0*MIN(1,MAX(0,(Assumptions!$C$151-30)/30))))</f>
        <v>71473.38</v>
      </c>
      <c r="F21" s="62" t="n">
        <f aca="false">IF(F$5="A",Inputs_Actuals!F191,F20+F19-(F19*MIN(1,Assumptions!$C$151/30)+E19*MIN(1,MAX(0,(Assumptions!$C$151-30)/30))))</f>
        <v>70612.22</v>
      </c>
      <c r="G21" s="62" t="n">
        <f aca="false">IF(G$5="A",Inputs_Actuals!G191,G20+G19-(G19*MIN(1,Assumptions!$C$151/30)+F19*MIN(1,MAX(0,(Assumptions!$C$151-30)/30))))</f>
        <v>74971.44</v>
      </c>
      <c r="H21" s="62" t="n">
        <f aca="false">IF(H$5="A",Inputs_Actuals!H191,H20+H19-(H19*MIN(1,Assumptions!$C$151/30)+G19*MIN(1,MAX(0,(Assumptions!$C$151-30)/30))))</f>
        <v>63215.27</v>
      </c>
      <c r="I21" s="62" t="n">
        <f aca="false">IF(I$5="A",Inputs_Actuals!I191,I20+I19-(I19*MIN(1,Assumptions!$C$151/30)+H19*MIN(1,MAX(0,(Assumptions!$C$151-30)/30))))</f>
        <v>62334.12</v>
      </c>
      <c r="J21" s="62" t="n">
        <f aca="false">IF(J$5="A",Inputs_Actuals!J191,J20+J19-(J19*MIN(1,Assumptions!$C$151/30)+I19*MIN(1,MAX(0,(Assumptions!$C$151-30)/30))))</f>
        <v>63599.99</v>
      </c>
      <c r="K21" s="62" t="n">
        <f aca="false">IF(K$5="A",Inputs_Actuals!K191,K20+K19-(K19*MIN(1,Assumptions!$C$151/30)+J19*MIN(1,MAX(0,(Assumptions!$C$151-30)/30))))</f>
        <v>68246.55</v>
      </c>
      <c r="L21" s="62" t="n">
        <f aca="false">IF(L$5="A",Inputs_Actuals!L191,L20+L19-(L19*MIN(1,Assumptions!$C$151/30)+K19*MIN(1,MAX(0,(Assumptions!$C$151-30)/30))))</f>
        <v>66157.82</v>
      </c>
      <c r="M21" s="62" t="n">
        <f aca="false">IF(M$5="A",Inputs_Actuals!M191,M20+M19-(M19*MIN(1,Assumptions!$C$151/30)+L19*MIN(1,MAX(0,(Assumptions!$C$151-30)/30))))</f>
        <v>59617.05</v>
      </c>
      <c r="N21" s="62" t="n">
        <f aca="false">IF(N$5="A",Inputs_Actuals!N191,N20+N19-(N19*MIN(1,Assumptions!$C$151/30)+M19*MIN(1,MAX(0,(Assumptions!$C$151-30)/30))))</f>
        <v>74155.2</v>
      </c>
      <c r="O21" s="62" t="n">
        <f aca="false">IF(O$5="A",Inputs_Actuals!O191,O20+O19-(O19*MIN(1,Assumptions!$C$151/30)+N19*MIN(1,MAX(0,(Assumptions!$C$151-30)/30))))</f>
        <v>71180.2</v>
      </c>
      <c r="P21" s="62" t="n">
        <f aca="false">IF(P$5="A",Inputs_Actuals!P191,P20+P19-(P19*MIN(1,Assumptions!$C$151/30)+O19*MIN(1,MAX(0,(Assumptions!$C$151-30)/30))))</f>
        <v>60315.5</v>
      </c>
      <c r="Q21" s="62" t="n">
        <f aca="false">IF(Q$5="A",Inputs_Actuals!Q191,Q20+Q19-(Q19*MIN(1,Assumptions!$C$151/30)+P19*MIN(1,MAX(0,(Assumptions!$C$151-30)/30))))</f>
        <v>80143.1365</v>
      </c>
      <c r="R21" s="62" t="n">
        <f aca="false">IF(R$5="A",Inputs_Actuals!R191,R20+R19-(R19*MIN(1,Assumptions!$C$151/30)+Q19*MIN(1,MAX(0,(Assumptions!$C$151-30)/30))))</f>
        <v>81047.869</v>
      </c>
      <c r="S21" s="62" t="n">
        <f aca="false">IF(S$5="A",Inputs_Actuals!S191,S20+S19-(S19*MIN(1,Assumptions!$C$151/30)+R19*MIN(1,MAX(0,(Assumptions!$C$151-30)/30))))</f>
        <v>62124.965</v>
      </c>
      <c r="T21" s="62" t="n">
        <f aca="false">IF(T$5="A",Inputs_Actuals!T191,T20+T19-(T19*MIN(1,Assumptions!$C$151/30)+S19*MIN(1,MAX(0,(Assumptions!$C$151-30)/30))))</f>
        <v>72035.6658</v>
      </c>
      <c r="U21" s="62" t="n">
        <f aca="false">IF(U$5="A",Inputs_Actuals!U191,U20+U19-(U19*MIN(1,Assumptions!$C$151/30)+T19*MIN(1,MAX(0,(Assumptions!$C$151-30)/30))))</f>
        <v>72035.6658</v>
      </c>
      <c r="V21" s="62" t="n">
        <f aca="false">IF(V$5="A",Inputs_Actuals!V191,V20+V19-(V19*MIN(1,Assumptions!$C$151/30)+U19*MIN(1,MAX(0,(Assumptions!$C$151-30)/30))))</f>
        <v>62124.965</v>
      </c>
      <c r="W21" s="62" t="n">
        <f aca="false">IF(W$5="A",Inputs_Actuals!W191,W20+W19-(W19*MIN(1,Assumptions!$C$151/30)+V19*MIN(1,MAX(0,(Assumptions!$C$151-30)/30))))</f>
        <v>62124.965</v>
      </c>
      <c r="X21" s="62" t="n">
        <f aca="false">IF(X$5="A",Inputs_Actuals!X191,X20+X19-(X19*MIN(1,Assumptions!$C$151/30)+W19*MIN(1,MAX(0,(Assumptions!$C$151-30)/30))))</f>
        <v>62124.965</v>
      </c>
      <c r="Y21" s="62" t="n">
        <f aca="false">IF(Y$5="A",Inputs_Actuals!Y191,Y20+Y19-(Y19*MIN(1,Assumptions!$C$151/30)+X19*MIN(1,MAX(0,(Assumptions!$C$151-30)/30))))</f>
        <v>65099.965</v>
      </c>
      <c r="Z21" s="62" t="n">
        <f aca="false">IF(Z$5="A",Inputs_Actuals!Z191,Z20+Z19-(Z19*MIN(1,Assumptions!$C$151/30)+Y19*MIN(1,MAX(0,(Assumptions!$C$151-30)/30))))</f>
        <v>65099.965</v>
      </c>
      <c r="AA21" s="62" t="n">
        <f aca="false">IF(AA$5="A",Inputs_Actuals!AA191,AA20+AA19-(AA19*MIN(1,Assumptions!$C$151/30)+Z19*MIN(1,MAX(0,(Assumptions!$C$151-30)/30))))</f>
        <v>62124.965</v>
      </c>
      <c r="AB21" s="62" t="n">
        <f aca="false">IF(AB$5="A",Inputs_Actuals!AB191,AB20+AB19-(AB19*MIN(1,Assumptions!$C$151/30)+AA19*MIN(1,MAX(0,(Assumptions!$C$151-30)/30))))</f>
        <v>62124.965</v>
      </c>
    </row>
    <row r="22" customFormat="false" ht="15" hidden="false" customHeight="false" outlineLevel="0" collapsed="false">
      <c r="A22" s="68" t="s">
        <v>1412</v>
      </c>
      <c r="B22" s="69"/>
      <c r="C22" s="70" t="n">
        <f aca="false">P22</f>
        <v>30157.75</v>
      </c>
      <c r="D22" s="70" t="n">
        <f aca="false">AB22</f>
        <v>31062.4825</v>
      </c>
      <c r="E22" s="70" t="n">
        <f aca="false">E20+E19-E21</f>
        <v>25783.655</v>
      </c>
      <c r="F22" s="70" t="n">
        <f aca="false">F20+F19-F21</f>
        <v>42058.722</v>
      </c>
      <c r="G22" s="70" t="n">
        <f aca="false">G20+G19-G21</f>
        <v>33919.299</v>
      </c>
      <c r="H22" s="70" t="n">
        <f aca="false">H20+H19-H21</f>
        <v>30144.028</v>
      </c>
      <c r="I22" s="70" t="n">
        <f aca="false">I20+I19-I21</f>
        <v>33914.775</v>
      </c>
      <c r="J22" s="70" t="n">
        <f aca="false">J20+J19-J21</f>
        <v>29600.318</v>
      </c>
      <c r="K22" s="70" t="n">
        <f aca="false">K20+K19-K21</f>
        <v>39168.739</v>
      </c>
      <c r="L22" s="70" t="n">
        <f aca="false">L20+L19-L21</f>
        <v>26484.3</v>
      </c>
      <c r="M22" s="70" t="n">
        <f aca="false">M20+M19-M21</f>
        <v>33132.75</v>
      </c>
      <c r="N22" s="70" t="n">
        <f aca="false">N20+N19-N21</f>
        <v>41022.45</v>
      </c>
      <c r="O22" s="70" t="n">
        <f aca="false">O20+O19-O21</f>
        <v>30157.75</v>
      </c>
      <c r="P22" s="70" t="n">
        <f aca="false">P20+P19-P21</f>
        <v>30157.75</v>
      </c>
      <c r="Q22" s="70" t="n">
        <f aca="false">Q20+Q19-Q21</f>
        <v>49985.3865</v>
      </c>
      <c r="R22" s="70" t="n">
        <f aca="false">R20+R19-R21</f>
        <v>31062.4825</v>
      </c>
      <c r="S22" s="70" t="n">
        <f aca="false">S20+S19-S21</f>
        <v>31062.4825</v>
      </c>
      <c r="T22" s="70" t="n">
        <f aca="false">T20+T19-T21</f>
        <v>40973.1833</v>
      </c>
      <c r="U22" s="70" t="n">
        <f aca="false">U20+U19-U21</f>
        <v>31062.4825</v>
      </c>
      <c r="V22" s="70" t="n">
        <f aca="false">V20+V19-V21</f>
        <v>31062.4825</v>
      </c>
      <c r="W22" s="70" t="n">
        <f aca="false">W20+W19-W21</f>
        <v>31062.4825</v>
      </c>
      <c r="X22" s="70" t="n">
        <f aca="false">X20+X19-X21</f>
        <v>31062.4825</v>
      </c>
      <c r="Y22" s="70" t="n">
        <f aca="false">Y20+Y19-Y21</f>
        <v>34037.4825</v>
      </c>
      <c r="Z22" s="70" t="n">
        <f aca="false">Z20+Z19-Z21</f>
        <v>31062.4825</v>
      </c>
      <c r="AA22" s="70" t="n">
        <f aca="false">AA20+AA19-AA21</f>
        <v>31062.4825</v>
      </c>
      <c r="AB22" s="70" t="n">
        <f aca="false">AB20+AB19-AB21</f>
        <v>31062.4825</v>
      </c>
    </row>
    <row r="23" customFormat="false" ht="15" hidden="false" customHeight="false" outlineLevel="0" collapsed="false">
      <c r="A23" s="23" t="s">
        <v>1415</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row>
    <row r="24" customFormat="false" ht="15" hidden="false" customHeight="false" outlineLevel="0" collapsed="false">
      <c r="A24" s="68" t="s">
        <v>1416</v>
      </c>
      <c r="B24" s="69"/>
      <c r="C24" s="70" t="n">
        <f aca="false">P24</f>
        <v>74681.0061738124</v>
      </c>
      <c r="D24" s="70" t="n">
        <f aca="false">AB24</f>
        <v>54249.3123519565</v>
      </c>
      <c r="E24" s="70" t="n">
        <f aca="false">E12+E17+E22</f>
        <v>50048.50119</v>
      </c>
      <c r="F24" s="70" t="n">
        <f aca="false">F12+F17+F22</f>
        <v>71438.83581</v>
      </c>
      <c r="G24" s="70" t="n">
        <f aca="false">G12+G17+G22</f>
        <v>61075.72256</v>
      </c>
      <c r="H24" s="70" t="n">
        <f aca="false">H12+H17+H22</f>
        <v>69255.491825</v>
      </c>
      <c r="I24" s="70" t="n">
        <f aca="false">I12+I17+I22</f>
        <v>98509.10828</v>
      </c>
      <c r="J24" s="70" t="n">
        <f aca="false">J12+J17+J22</f>
        <v>113119.804385</v>
      </c>
      <c r="K24" s="70" t="n">
        <f aca="false">K12+K17+K22</f>
        <v>86525.725945</v>
      </c>
      <c r="L24" s="70" t="n">
        <f aca="false">L12+L17+L22</f>
        <v>62212.27609</v>
      </c>
      <c r="M24" s="70" t="n">
        <f aca="false">M12+M17+M22</f>
        <v>107503.00582191</v>
      </c>
      <c r="N24" s="70" t="n">
        <f aca="false">N12+N17+N22</f>
        <v>86497.2789484724</v>
      </c>
      <c r="O24" s="70" t="n">
        <f aca="false">O12+O17+O22</f>
        <v>59293.2877236664</v>
      </c>
      <c r="P24" s="70" t="n">
        <f aca="false">P12+P17+P22</f>
        <v>74681.0061738124</v>
      </c>
      <c r="Q24" s="70" t="n">
        <f aca="false">Q12+Q17+Q22</f>
        <v>92040.2309452143</v>
      </c>
      <c r="R24" s="70" t="n">
        <f aca="false">R12+R17+R22</f>
        <v>74240.2481891666</v>
      </c>
      <c r="S24" s="70" t="n">
        <f aca="false">S12+S17+S22</f>
        <v>56750.0738506888</v>
      </c>
      <c r="T24" s="70" t="n">
        <f aca="false">T12+T17+T22</f>
        <v>66228.085037866</v>
      </c>
      <c r="U24" s="70" t="n">
        <f aca="false">U12+U17+U22</f>
        <v>50288.8711474852</v>
      </c>
      <c r="V24" s="70" t="n">
        <f aca="false">V12+V17+V22</f>
        <v>55637.9198510537</v>
      </c>
      <c r="W24" s="70" t="n">
        <f aca="false">W12+W17+W22</f>
        <v>54015.587902209</v>
      </c>
      <c r="X24" s="70" t="n">
        <f aca="false">X12+X17+X22</f>
        <v>49978.6987211012</v>
      </c>
      <c r="Y24" s="70" t="n">
        <f aca="false">Y12+Y17+Y22</f>
        <v>57577.8754139293</v>
      </c>
      <c r="Z24" s="70" t="n">
        <f aca="false">Z12+Z17+Z22</f>
        <v>51639.9143304314</v>
      </c>
      <c r="AA24" s="70" t="n">
        <f aca="false">AA12+AA17+AA22</f>
        <v>52498.1964595968</v>
      </c>
      <c r="AB24" s="70" t="n">
        <f aca="false">AB12+AB17+AB22</f>
        <v>54249.3123519565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1417</v>
      </c>
    </row>
    <row r="3" customFormat="false" ht="15" hidden="false" customHeight="false" outlineLevel="0" collapsed="false">
      <c r="A3" s="51" t="s">
        <v>1418</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1419</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1420</v>
      </c>
      <c r="B9" s="60" t="s">
        <v>54</v>
      </c>
      <c r="C9" s="61" t="n">
        <f aca="false">SUM(E9:P9)</f>
        <v>1249108.51923921</v>
      </c>
      <c r="D9" s="61" t="n">
        <f aca="false">SUM(Q9:AB9)</f>
        <v>1438301.69225335</v>
      </c>
      <c r="E9" s="62" t="n">
        <f aca="false">Clients!E212</f>
        <v>84240.718</v>
      </c>
      <c r="F9" s="62" t="n">
        <f aca="false">Clients!F212</f>
        <v>93620.5658</v>
      </c>
      <c r="G9" s="62" t="n">
        <f aca="false">Clients!G212</f>
        <v>88271.0645</v>
      </c>
      <c r="H9" s="62" t="n">
        <f aca="false">Clients!H212</f>
        <v>114219.1555</v>
      </c>
      <c r="I9" s="62" t="n">
        <f aca="false">Clients!I212</f>
        <v>90766.1046</v>
      </c>
      <c r="J9" s="62" t="n">
        <f aca="false">Clients!J212</f>
        <v>111968.0336</v>
      </c>
      <c r="K9" s="62" t="n">
        <f aca="false">Clients!K212</f>
        <v>121548.1946</v>
      </c>
      <c r="L9" s="62" t="n">
        <f aca="false">Clients!L212</f>
        <v>104817.2677</v>
      </c>
      <c r="M9" s="62" t="n">
        <f aca="false">Clients!M212</f>
        <v>78693.869134</v>
      </c>
      <c r="N9" s="62" t="n">
        <f aca="false">Clients!N212</f>
        <v>120337.650677601</v>
      </c>
      <c r="O9" s="62" t="n">
        <f aca="false">Clients!O212</f>
        <v>102196.947450302</v>
      </c>
      <c r="P9" s="62" t="n">
        <f aca="false">Clients!P212</f>
        <v>138428.947677303</v>
      </c>
      <c r="Q9" s="62" t="n">
        <f aca="false">Clients!Q212</f>
        <v>131004.20445159</v>
      </c>
      <c r="R9" s="62" t="n">
        <f aca="false">Clients!R212</f>
        <v>125394.759026004</v>
      </c>
      <c r="S9" s="62" t="n">
        <f aca="false">Clients!S212</f>
        <v>115266.308684616</v>
      </c>
      <c r="T9" s="62" t="n">
        <f aca="false">Clients!T212</f>
        <v>116872.577763004</v>
      </c>
      <c r="U9" s="62" t="n">
        <f aca="false">Clients!U212</f>
        <v>123381.046014059</v>
      </c>
      <c r="V9" s="62" t="n">
        <f aca="false">Clients!V212</f>
        <v>88669.7660361437</v>
      </c>
      <c r="W9" s="62" t="n">
        <f aca="false">Clients!W212</f>
        <v>128112.594864172</v>
      </c>
      <c r="X9" s="62" t="n">
        <f aca="false">Clients!X212</f>
        <v>118469.803008879</v>
      </c>
      <c r="Y9" s="62" t="n">
        <f aca="false">Clients!Y212</f>
        <v>111813.695221327</v>
      </c>
      <c r="Z9" s="62" t="n">
        <f aca="false">Clients!Z212</f>
        <v>130551.154340346</v>
      </c>
      <c r="AA9" s="62" t="n">
        <f aca="false">Clients!AA212</f>
        <v>121188.711488804</v>
      </c>
      <c r="AB9" s="62" t="n">
        <f aca="false">Clients!AB212</f>
        <v>127577.071354406</v>
      </c>
    </row>
    <row r="10" customFormat="false" ht="15" hidden="false" customHeight="false" outlineLevel="0" collapsed="false">
      <c r="A10" s="29" t="s">
        <v>1421</v>
      </c>
      <c r="B10" s="60" t="s">
        <v>1422</v>
      </c>
      <c r="C10" s="61" t="n">
        <f aca="false">SUM(E10:P10)</f>
        <v>17945.766</v>
      </c>
      <c r="D10" s="61" t="n">
        <f aca="false">SUM(Q10:AB10)</f>
        <v>19022.04</v>
      </c>
      <c r="E10" s="62" t="n">
        <f aca="false">Overheads!E34*Assumptions!$C$18</f>
        <v>1518.822</v>
      </c>
      <c r="F10" s="62" t="n">
        <f aca="false">Overheads!F34*Assumptions!$C$18</f>
        <v>1350.672</v>
      </c>
      <c r="G10" s="62" t="n">
        <f aca="false">Overheads!G34*Assumptions!$C$18</f>
        <v>1483.596</v>
      </c>
      <c r="H10" s="62" t="n">
        <f aca="false">Overheads!H34*Assumptions!$C$18</f>
        <v>1525.89</v>
      </c>
      <c r="I10" s="62" t="n">
        <f aca="false">Overheads!I34*Assumptions!$C$18</f>
        <v>1412.802</v>
      </c>
      <c r="J10" s="62" t="n">
        <f aca="false">Overheads!J34*Assumptions!$C$18</f>
        <v>1478.922</v>
      </c>
      <c r="K10" s="62" t="n">
        <f aca="false">Overheads!K34*Assumptions!$C$18</f>
        <v>1600.332</v>
      </c>
      <c r="L10" s="62" t="n">
        <f aca="false">Overheads!L34*Assumptions!$C$18</f>
        <v>1418.73</v>
      </c>
      <c r="M10" s="62" t="n">
        <f aca="false">Overheads!M34*Assumptions!$C$18</f>
        <v>1539</v>
      </c>
      <c r="N10" s="62" t="n">
        <f aca="false">Overheads!N34*Assumptions!$C$18</f>
        <v>1539</v>
      </c>
      <c r="O10" s="62" t="n">
        <f aca="false">Overheads!O34*Assumptions!$C$18</f>
        <v>1539</v>
      </c>
      <c r="P10" s="62" t="n">
        <f aca="false">Overheads!P34*Assumptions!$C$18</f>
        <v>1539</v>
      </c>
      <c r="Q10" s="62" t="n">
        <f aca="false">Overheads!Q34*Assumptions!$C$18</f>
        <v>1585.17</v>
      </c>
      <c r="R10" s="62" t="n">
        <f aca="false">Overheads!R34*Assumptions!$C$18</f>
        <v>1585.17</v>
      </c>
      <c r="S10" s="62" t="n">
        <f aca="false">Overheads!S34*Assumptions!$C$18</f>
        <v>1585.17</v>
      </c>
      <c r="T10" s="62" t="n">
        <f aca="false">Overheads!T34*Assumptions!$C$18</f>
        <v>1585.17</v>
      </c>
      <c r="U10" s="62" t="n">
        <f aca="false">Overheads!U34*Assumptions!$C$18</f>
        <v>1585.17</v>
      </c>
      <c r="V10" s="62" t="n">
        <f aca="false">Overheads!V34*Assumptions!$C$18</f>
        <v>1585.17</v>
      </c>
      <c r="W10" s="62" t="n">
        <f aca="false">Overheads!W34*Assumptions!$C$18</f>
        <v>1585.17</v>
      </c>
      <c r="X10" s="62" t="n">
        <f aca="false">Overheads!X34*Assumptions!$C$18</f>
        <v>1585.17</v>
      </c>
      <c r="Y10" s="62" t="n">
        <f aca="false">Overheads!Y34*Assumptions!$C$18</f>
        <v>1585.17</v>
      </c>
      <c r="Z10" s="62" t="n">
        <f aca="false">Overheads!Z34*Assumptions!$C$18</f>
        <v>1585.17</v>
      </c>
      <c r="AA10" s="62" t="n">
        <f aca="false">Overheads!AA34*Assumptions!$C$18</f>
        <v>1585.17</v>
      </c>
      <c r="AB10" s="62" t="n">
        <f aca="false">Overheads!AB34*Assumptions!$C$18</f>
        <v>1585.17</v>
      </c>
    </row>
    <row r="11" customFormat="false" ht="15" hidden="false" customHeight="false" outlineLevel="0" collapsed="false">
      <c r="A11" s="29" t="s">
        <v>1423</v>
      </c>
      <c r="B11" s="60" t="s">
        <v>54</v>
      </c>
      <c r="C11" s="61" t="n">
        <f aca="false">SUM(E11:P11)</f>
        <v>-23376.93</v>
      </c>
      <c r="D11" s="61" t="n">
        <f aca="false">SUM(Q11:AB11)</f>
        <v>0</v>
      </c>
      <c r="E11" s="62" t="n">
        <f aca="false">-Clients!E217</f>
        <v>-0</v>
      </c>
      <c r="F11" s="62" t="n">
        <f aca="false">-Clients!F217</f>
        <v>-0</v>
      </c>
      <c r="G11" s="62" t="n">
        <f aca="false">-Clients!G217</f>
        <v>-0</v>
      </c>
      <c r="H11" s="62" t="n">
        <f aca="false">-Clients!H217</f>
        <v>-0</v>
      </c>
      <c r="I11" s="62" t="n">
        <f aca="false">-Clients!I217</f>
        <v>-0</v>
      </c>
      <c r="J11" s="62" t="n">
        <f aca="false">-Clients!J217</f>
        <v>-0</v>
      </c>
      <c r="K11" s="62" t="n">
        <f aca="false">-Clients!K217</f>
        <v>-23376.93</v>
      </c>
      <c r="L11" s="62" t="n">
        <f aca="false">-Clients!L217</f>
        <v>-0</v>
      </c>
      <c r="M11" s="62" t="n">
        <f aca="false">-Clients!M217</f>
        <v>-0</v>
      </c>
      <c r="N11" s="62" t="n">
        <f aca="false">-Clients!N217</f>
        <v>-0</v>
      </c>
      <c r="O11" s="62" t="n">
        <f aca="false">-Clients!O217</f>
        <v>-0</v>
      </c>
      <c r="P11" s="62" t="n">
        <f aca="false">-Clients!P217</f>
        <v>-0</v>
      </c>
      <c r="Q11" s="62" t="n">
        <f aca="false">-Clients!Q217</f>
        <v>-0</v>
      </c>
      <c r="R11" s="62" t="n">
        <f aca="false">-Clients!R217</f>
        <v>-0</v>
      </c>
      <c r="S11" s="62" t="n">
        <f aca="false">-Clients!S217</f>
        <v>-0</v>
      </c>
      <c r="T11" s="62" t="n">
        <f aca="false">-Clients!T217</f>
        <v>-0</v>
      </c>
      <c r="U11" s="62" t="n">
        <f aca="false">-Clients!U217</f>
        <v>-0</v>
      </c>
      <c r="V11" s="62" t="n">
        <f aca="false">-Clients!V217</f>
        <v>-0</v>
      </c>
      <c r="W11" s="62" t="n">
        <f aca="false">-Clients!W217</f>
        <v>-0</v>
      </c>
      <c r="X11" s="62" t="n">
        <f aca="false">-Clients!X217</f>
        <v>-0</v>
      </c>
      <c r="Y11" s="62" t="n">
        <f aca="false">-Clients!Y217</f>
        <v>-0</v>
      </c>
      <c r="Z11" s="62" t="n">
        <f aca="false">-Clients!Z217</f>
        <v>-0</v>
      </c>
      <c r="AA11" s="62" t="n">
        <f aca="false">-Clients!AA217</f>
        <v>-0</v>
      </c>
      <c r="AB11" s="62" t="n">
        <f aca="false">-Clients!AB217</f>
        <v>-0</v>
      </c>
    </row>
    <row r="12" customFormat="false" ht="15" hidden="false" customHeight="false" outlineLevel="0" collapsed="false">
      <c r="A12" s="68" t="s">
        <v>1424</v>
      </c>
      <c r="B12" s="69"/>
      <c r="C12" s="70" t="n">
        <f aca="false">SUM(E12:P12)</f>
        <v>1243677.35523921</v>
      </c>
      <c r="D12" s="70" t="n">
        <f aca="false">SUM(Q12:AB12)</f>
        <v>1457323.73225335</v>
      </c>
      <c r="E12" s="70" t="n">
        <f aca="false">E9+E10+E11</f>
        <v>85759.54</v>
      </c>
      <c r="F12" s="70" t="n">
        <f aca="false">F9+F10+F11</f>
        <v>94971.2378</v>
      </c>
      <c r="G12" s="70" t="n">
        <f aca="false">G9+G10+G11</f>
        <v>89754.6605</v>
      </c>
      <c r="H12" s="70" t="n">
        <f aca="false">H9+H10+H11</f>
        <v>115745.0455</v>
      </c>
      <c r="I12" s="70" t="n">
        <f aca="false">I9+I10+I11</f>
        <v>92178.9066</v>
      </c>
      <c r="J12" s="70" t="n">
        <f aca="false">J9+J10+J11</f>
        <v>113446.9556</v>
      </c>
      <c r="K12" s="70" t="n">
        <f aca="false">K9+K10+K11</f>
        <v>99771.5966</v>
      </c>
      <c r="L12" s="70" t="n">
        <f aca="false">L9+L10+L11</f>
        <v>106235.9977</v>
      </c>
      <c r="M12" s="70" t="n">
        <f aca="false">M9+M10+M11</f>
        <v>80232.869134</v>
      </c>
      <c r="N12" s="70" t="n">
        <f aca="false">N9+N10+N11</f>
        <v>121876.650677601</v>
      </c>
      <c r="O12" s="70" t="n">
        <f aca="false">O9+O10+O11</f>
        <v>103735.947450302</v>
      </c>
      <c r="P12" s="70" t="n">
        <f aca="false">P9+P10+P11</f>
        <v>139967.947677303</v>
      </c>
      <c r="Q12" s="70" t="n">
        <f aca="false">Q9+Q10+Q11</f>
        <v>132589.37445159</v>
      </c>
      <c r="R12" s="70" t="n">
        <f aca="false">R9+R10+R11</f>
        <v>126979.929026004</v>
      </c>
      <c r="S12" s="70" t="n">
        <f aca="false">S9+S10+S11</f>
        <v>116851.478684616</v>
      </c>
      <c r="T12" s="70" t="n">
        <f aca="false">T9+T10+T11</f>
        <v>118457.747763004</v>
      </c>
      <c r="U12" s="70" t="n">
        <f aca="false">U9+U10+U11</f>
        <v>124966.216014059</v>
      </c>
      <c r="V12" s="70" t="n">
        <f aca="false">V9+V10+V11</f>
        <v>90254.9360361437</v>
      </c>
      <c r="W12" s="70" t="n">
        <f aca="false">W9+W10+W11</f>
        <v>129697.764864172</v>
      </c>
      <c r="X12" s="70" t="n">
        <f aca="false">X9+X10+X11</f>
        <v>120054.973008879</v>
      </c>
      <c r="Y12" s="70" t="n">
        <f aca="false">Y9+Y10+Y11</f>
        <v>113398.865221327</v>
      </c>
      <c r="Z12" s="70" t="n">
        <f aca="false">Z9+Z10+Z11</f>
        <v>132136.324340346</v>
      </c>
      <c r="AA12" s="70" t="n">
        <f aca="false">AA9+AA10+AA11</f>
        <v>122773.881488804</v>
      </c>
      <c r="AB12" s="70" t="n">
        <f aca="false">AB9+AB10+AB11</f>
        <v>129162.241354406</v>
      </c>
    </row>
    <row r="13" customFormat="false" ht="15" hidden="false" customHeight="false" outlineLevel="0" collapsed="false">
      <c r="A13" s="23" t="s">
        <v>1425</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row>
    <row r="14" customFormat="false" ht="15" hidden="false" customHeight="false" outlineLevel="0" collapsed="false">
      <c r="A14" s="29" t="s">
        <v>1426</v>
      </c>
      <c r="B14" s="60"/>
      <c r="C14" s="61" t="n">
        <f aca="false">SUM(E14:P14)</f>
        <v>17945.766</v>
      </c>
      <c r="D14" s="61" t="n">
        <f aca="false">SUM(Q14:AB14)</f>
        <v>19022.04</v>
      </c>
      <c r="E14" s="71" t="n">
        <f aca="false">E10</f>
        <v>1518.822</v>
      </c>
      <c r="F14" s="71" t="n">
        <f aca="false">F10</f>
        <v>1350.672</v>
      </c>
      <c r="G14" s="71" t="n">
        <f aca="false">G10</f>
        <v>1483.596</v>
      </c>
      <c r="H14" s="71" t="n">
        <f aca="false">H10</f>
        <v>1525.89</v>
      </c>
      <c r="I14" s="71" t="n">
        <f aca="false">I10</f>
        <v>1412.802</v>
      </c>
      <c r="J14" s="71" t="n">
        <f aca="false">J10</f>
        <v>1478.922</v>
      </c>
      <c r="K14" s="71" t="n">
        <f aca="false">K10</f>
        <v>1600.332</v>
      </c>
      <c r="L14" s="71" t="n">
        <f aca="false">L10</f>
        <v>1418.73</v>
      </c>
      <c r="M14" s="71" t="n">
        <f aca="false">M10</f>
        <v>1539</v>
      </c>
      <c r="N14" s="71" t="n">
        <f aca="false">N10</f>
        <v>1539</v>
      </c>
      <c r="O14" s="71" t="n">
        <f aca="false">O10</f>
        <v>1539</v>
      </c>
      <c r="P14" s="71" t="n">
        <f aca="false">P10</f>
        <v>1539</v>
      </c>
      <c r="Q14" s="71" t="n">
        <f aca="false">Q10</f>
        <v>1585.17</v>
      </c>
      <c r="R14" s="71" t="n">
        <f aca="false">R10</f>
        <v>1585.17</v>
      </c>
      <c r="S14" s="71" t="n">
        <f aca="false">S10</f>
        <v>1585.17</v>
      </c>
      <c r="T14" s="71" t="n">
        <f aca="false">T10</f>
        <v>1585.17</v>
      </c>
      <c r="U14" s="71" t="n">
        <f aca="false">U10</f>
        <v>1585.17</v>
      </c>
      <c r="V14" s="71" t="n">
        <f aca="false">V10</f>
        <v>1585.17</v>
      </c>
      <c r="W14" s="71" t="n">
        <f aca="false">W10</f>
        <v>1585.17</v>
      </c>
      <c r="X14" s="71" t="n">
        <f aca="false">X10</f>
        <v>1585.17</v>
      </c>
      <c r="Y14" s="71" t="n">
        <f aca="false">Y10</f>
        <v>1585.17</v>
      </c>
      <c r="Z14" s="71" t="n">
        <f aca="false">Z10</f>
        <v>1585.17</v>
      </c>
      <c r="AA14" s="71" t="n">
        <f aca="false">AA10</f>
        <v>1585.17</v>
      </c>
      <c r="AB14" s="71" t="n">
        <f aca="false">AB10</f>
        <v>1585.17</v>
      </c>
    </row>
    <row r="15" customFormat="false" ht="15" hidden="false" customHeight="false" outlineLevel="0" collapsed="false">
      <c r="A15" s="29" t="s">
        <v>1427</v>
      </c>
      <c r="B15" s="60"/>
      <c r="C15" s="61" t="n">
        <f aca="false">SUM(E15:P15)</f>
        <v>151880.49</v>
      </c>
      <c r="D15" s="61" t="n">
        <f aca="false">SUM(Q15:AB15)</f>
        <v>154466.5496</v>
      </c>
      <c r="E15" s="62" t="n">
        <f aca="false">Overheads!E33*Assumptions!$C$18</f>
        <v>10968.035</v>
      </c>
      <c r="F15" s="62" t="n">
        <f aca="false">Overheads!F33*Assumptions!$C$18</f>
        <v>16077.287</v>
      </c>
      <c r="G15" s="62" t="n">
        <f aca="false">Overheads!G33*Assumptions!$C$18</f>
        <v>12632.017</v>
      </c>
      <c r="H15" s="62" t="n">
        <f aca="false">Overheads!H33*Assumptions!$C$18</f>
        <v>11597.999</v>
      </c>
      <c r="I15" s="62" t="n">
        <f aca="false">Overheads!I33*Assumptions!$C$18</f>
        <v>12558.867</v>
      </c>
      <c r="J15" s="62" t="n">
        <f aca="false">Overheads!J33*Assumptions!$C$18</f>
        <v>11620.533</v>
      </c>
      <c r="K15" s="62" t="n">
        <f aca="false">Overheads!K33*Assumptions!$C$18</f>
        <v>14500.971</v>
      </c>
      <c r="L15" s="62" t="n">
        <f aca="false">Overheads!L33*Assumptions!$C$18</f>
        <v>10803.381</v>
      </c>
      <c r="M15" s="62" t="n">
        <f aca="false">Overheads!M33*Assumptions!$C$18</f>
        <v>12625.5</v>
      </c>
      <c r="N15" s="62" t="n">
        <f aca="false">Overheads!N33*Assumptions!$C$18</f>
        <v>15144.9</v>
      </c>
      <c r="O15" s="62" t="n">
        <f aca="false">Overheads!O33*Assumptions!$C$18</f>
        <v>11675.5</v>
      </c>
      <c r="P15" s="62" t="n">
        <f aca="false">Overheads!P33*Assumptions!$C$18</f>
        <v>11675.5</v>
      </c>
      <c r="Q15" s="62" t="n">
        <f aca="false">Overheads!Q33*Assumptions!$C$18</f>
        <v>18068.373</v>
      </c>
      <c r="R15" s="62" t="n">
        <f aca="false">Overheads!R33*Assumptions!$C$18</f>
        <v>12025.765</v>
      </c>
      <c r="S15" s="62" t="n">
        <f aca="false">Overheads!S33*Assumptions!$C$18</f>
        <v>12025.765</v>
      </c>
      <c r="T15" s="62" t="n">
        <f aca="false">Overheads!T33*Assumptions!$C$18</f>
        <v>15190.5266</v>
      </c>
      <c r="U15" s="62" t="n">
        <f aca="false">Overheads!U33*Assumptions!$C$18</f>
        <v>12025.765</v>
      </c>
      <c r="V15" s="62" t="n">
        <f aca="false">Overheads!V33*Assumptions!$C$18</f>
        <v>12025.765</v>
      </c>
      <c r="W15" s="62" t="n">
        <f aca="false">Overheads!W33*Assumptions!$C$18</f>
        <v>12025.765</v>
      </c>
      <c r="X15" s="62" t="n">
        <f aca="false">Overheads!X33*Assumptions!$C$18</f>
        <v>12025.765</v>
      </c>
      <c r="Y15" s="62" t="n">
        <f aca="false">Overheads!Y33*Assumptions!$C$18</f>
        <v>12975.765</v>
      </c>
      <c r="Z15" s="62" t="n">
        <f aca="false">Overheads!Z33*Assumptions!$C$18</f>
        <v>12025.765</v>
      </c>
      <c r="AA15" s="62" t="n">
        <f aca="false">Overheads!AA33*Assumptions!$C$18</f>
        <v>12025.765</v>
      </c>
      <c r="AB15" s="62" t="n">
        <f aca="false">Overheads!AB33*Assumptions!$C$18</f>
        <v>12025.765</v>
      </c>
    </row>
    <row r="16" customFormat="false" ht="15" hidden="false" customHeight="false" outlineLevel="0" collapsed="false">
      <c r="A16" s="29" t="s">
        <v>357</v>
      </c>
      <c r="B16" s="60"/>
      <c r="C16" s="61" t="n">
        <f aca="false">SUM(E16:P16)</f>
        <v>37205.8839045359</v>
      </c>
      <c r="D16" s="61" t="n">
        <f aca="false">SUM(Q16:AB16)</f>
        <v>4913.2182007679</v>
      </c>
      <c r="E16" s="62" t="n">
        <f aca="false">Capacity!E141*Assumptions!$C$23*Assumptions!$C$18</f>
        <v>1118.26799</v>
      </c>
      <c r="F16" s="62" t="n">
        <f aca="false">Capacity!F141*Assumptions!$C$23*Assumptions!$C$18</f>
        <v>1399.18432</v>
      </c>
      <c r="G16" s="62" t="n">
        <f aca="false">Capacity!G141*Assumptions!$C$23*Assumptions!$C$18</f>
        <v>419.81925</v>
      </c>
      <c r="H16" s="62" t="n">
        <f aca="false">Capacity!H141*Assumptions!$C$23*Assumptions!$C$18</f>
        <v>2602.945565</v>
      </c>
      <c r="I16" s="62" t="n">
        <f aca="false">Capacity!I141*Assumptions!$C$23*Assumptions!$C$18</f>
        <v>5958.569955</v>
      </c>
      <c r="J16" s="62" t="n">
        <f aca="false">Capacity!J141*Assumptions!$C$23*Assumptions!$C$18</f>
        <v>7865.610405</v>
      </c>
      <c r="K16" s="62" t="n">
        <f aca="false">Capacity!K141*Assumptions!$C$23*Assumptions!$C$18</f>
        <v>3208.36546</v>
      </c>
      <c r="L16" s="62" t="n">
        <f aca="false">Capacity!L141*Assumptions!$C$23*Assumptions!$C$18</f>
        <v>2128.768645</v>
      </c>
      <c r="M16" s="62" t="n">
        <f aca="false">Capacity!M141*Assumptions!$C$23*Assumptions!$C$18</f>
        <v>6253.26721426788</v>
      </c>
      <c r="N16" s="62" t="n">
        <f aca="false">Capacity!N141*Assumptions!$C$23*Assumptions!$C$18</f>
        <v>2807.13201311623</v>
      </c>
      <c r="O16" s="62" t="n">
        <f aca="false">Capacity!O141*Assumptions!$C$23*Assumptions!$C$18</f>
        <v>791.211869256339</v>
      </c>
      <c r="P16" s="62" t="n">
        <f aca="false">Capacity!P141*Assumptions!$C$23*Assumptions!$C$18</f>
        <v>2652.74121789549</v>
      </c>
      <c r="Q16" s="62" t="n">
        <f aca="false">Capacity!Q141*Assumptions!$C$23*Assumptions!$C$18</f>
        <v>2445.94295460739</v>
      </c>
      <c r="R16" s="62" t="n">
        <f aca="false">Capacity!R141*Assumptions!$C$23*Assumptions!$C$18</f>
        <v>2460.48935560271</v>
      </c>
      <c r="S16" s="62" t="n">
        <f aca="false">Capacity!S141*Assumptions!$C$23*Assumptions!$C$18</f>
        <v>6.78589055780845</v>
      </c>
      <c r="T16" s="62" t="n">
        <f aca="false">Capacity!T141*Assumptions!$C$23*Assumptions!$C$18</f>
        <v>0</v>
      </c>
      <c r="U16" s="62" t="n">
        <f aca="false">Capacity!U141*Assumptions!$C$23*Assumptions!$C$18</f>
        <v>0</v>
      </c>
      <c r="V16" s="62" t="n">
        <f aca="false">Capacity!V141*Assumptions!$C$23*Assumptions!$C$18</f>
        <v>0</v>
      </c>
      <c r="W16" s="62" t="n">
        <f aca="false">Capacity!W141*Assumptions!$C$23*Assumptions!$C$18</f>
        <v>0</v>
      </c>
      <c r="X16" s="62" t="n">
        <f aca="false">Capacity!X141*Assumptions!$C$23*Assumptions!$C$18</f>
        <v>0</v>
      </c>
      <c r="Y16" s="62" t="n">
        <f aca="false">Capacity!Y141*Assumptions!$C$23*Assumptions!$C$18</f>
        <v>0</v>
      </c>
      <c r="Z16" s="62" t="n">
        <f aca="false">Capacity!Z141*Assumptions!$C$23*Assumptions!$C$18</f>
        <v>0</v>
      </c>
      <c r="AA16" s="62" t="n">
        <f aca="false">Capacity!AA141*Assumptions!$C$23*Assumptions!$C$18</f>
        <v>0</v>
      </c>
      <c r="AB16" s="62" t="n">
        <f aca="false">Capacity!AB141*Assumptions!$C$23*Assumptions!$C$18</f>
        <v>0</v>
      </c>
    </row>
    <row r="17" customFormat="false" ht="15" hidden="false" customHeight="false" outlineLevel="0" collapsed="false">
      <c r="A17" s="29" t="s">
        <v>1390</v>
      </c>
      <c r="B17" s="60"/>
      <c r="C17" s="61" t="n">
        <f aca="false">SUM(E17:P17)</f>
        <v>45206.2450704814</v>
      </c>
      <c r="D17" s="61" t="n">
        <f aca="false">SUM(Q17:AB17)</f>
        <v>45454.2931618358</v>
      </c>
      <c r="E17" s="62" t="n">
        <f aca="false">Engagements!E601*Assumptions!$C$24</f>
        <v>2537.9082</v>
      </c>
      <c r="F17" s="62" t="n">
        <f aca="false">Engagements!F601*Assumptions!$C$24</f>
        <v>3223.6533</v>
      </c>
      <c r="G17" s="62" t="n">
        <f aca="false">Engagements!G601*Assumptions!$C$24</f>
        <v>3812.0805</v>
      </c>
      <c r="H17" s="62" t="n">
        <f aca="false">Engagements!H601*Assumptions!$C$24</f>
        <v>3145.8447</v>
      </c>
      <c r="I17" s="62" t="n">
        <f aca="false">Engagements!I601*Assumptions!$C$24</f>
        <v>3380.6295</v>
      </c>
      <c r="J17" s="62" t="n">
        <f aca="false">Engagements!J601*Assumptions!$C$24</f>
        <v>4783.8627</v>
      </c>
      <c r="K17" s="62" t="n">
        <f aca="false">Engagements!K601*Assumptions!$C$24</f>
        <v>4035.5451</v>
      </c>
      <c r="L17" s="62" t="n">
        <f aca="false">Engagements!L601*Assumptions!$C$24</f>
        <v>3182.8905</v>
      </c>
      <c r="M17" s="62" t="n">
        <f aca="false">Engagements!M601*Assumptions!$C$24</f>
        <v>4854.56165112587</v>
      </c>
      <c r="N17" s="62" t="n">
        <f aca="false">Engagements!N601*Assumptions!$C$24</f>
        <v>4175.68203794632</v>
      </c>
      <c r="O17" s="62" t="n">
        <f aca="false">Engagements!O601*Assumptions!$C$24</f>
        <v>3871.68129134297</v>
      </c>
      <c r="P17" s="62" t="n">
        <f aca="false">Engagements!P601*Assumptions!$C$24</f>
        <v>4201.90559006627</v>
      </c>
      <c r="Q17" s="62" t="n">
        <f aca="false">Engagements!Q601*Assumptions!$C$24</f>
        <v>4039.88430995321</v>
      </c>
      <c r="R17" s="62" t="n">
        <f aca="false">Engagements!R601*Assumptions!$C$24</f>
        <v>4208.04464457758</v>
      </c>
      <c r="S17" s="62" t="n">
        <f aca="false">Engagements!S601*Assumptions!$C$24</f>
        <v>4233.92822123783</v>
      </c>
      <c r="T17" s="62" t="n">
        <f aca="false">Engagements!T601*Assumptions!$C$24</f>
        <v>4170.53423194117</v>
      </c>
      <c r="U17" s="62" t="n">
        <f aca="false">Engagements!U601*Assumptions!$C$24</f>
        <v>3174.99996013517</v>
      </c>
      <c r="V17" s="62" t="n">
        <f aca="false">Engagements!V601*Assumptions!$C$24</f>
        <v>4058.32910384374</v>
      </c>
      <c r="W17" s="62" t="n">
        <f aca="false">Engagements!W601*Assumptions!$C$24</f>
        <v>3790.42107559414</v>
      </c>
      <c r="X17" s="62" t="n">
        <f aca="false">Engagements!X601*Assumptions!$C$24</f>
        <v>3123.77882550295</v>
      </c>
      <c r="Y17" s="62" t="n">
        <f aca="false">Engagements!Y601*Assumptions!$C$24</f>
        <v>3887.40433441035</v>
      </c>
      <c r="Z17" s="62" t="n">
        <f aca="false">Engagements!Z601*Assumptions!$C$24</f>
        <v>3398.10800869508</v>
      </c>
      <c r="AA17" s="62" t="n">
        <f aca="false">Engagements!AA601*Assumptions!$C$24</f>
        <v>3539.842672227</v>
      </c>
      <c r="AB17" s="62" t="n">
        <f aca="false">Engagements!AB601*Assumptions!$C$24</f>
        <v>3829.01777371759</v>
      </c>
    </row>
    <row r="18" customFormat="false" ht="15" hidden="false" customHeight="false" outlineLevel="0" collapsed="false">
      <c r="A18" s="29" t="s">
        <v>1428</v>
      </c>
      <c r="B18" s="60"/>
      <c r="C18" s="61" t="n">
        <f aca="false">SUM(E18:P18)</f>
        <v>7942</v>
      </c>
      <c r="D18" s="61" t="n">
        <f aca="false">SUM(Q18:AB18)</f>
        <v>7998.24</v>
      </c>
      <c r="E18" s="62" t="n">
        <f aca="false">Fixed_Assets!E25*Assumptions!$C$18</f>
        <v>589</v>
      </c>
      <c r="F18" s="62" t="n">
        <f aca="false">Fixed_Assets!F25*Assumptions!$C$18</f>
        <v>342</v>
      </c>
      <c r="G18" s="62" t="n">
        <f aca="false">Fixed_Assets!G25*Assumptions!$C$18</f>
        <v>988</v>
      </c>
      <c r="H18" s="62" t="n">
        <f aca="false">Fixed_Assets!H25*Assumptions!$C$18</f>
        <v>456</v>
      </c>
      <c r="I18" s="62" t="n">
        <f aca="false">Fixed_Assets!I25*Assumptions!$C$18</f>
        <v>779</v>
      </c>
      <c r="J18" s="62" t="n">
        <f aca="false">Fixed_Assets!J25*Assumptions!$C$18</f>
        <v>418</v>
      </c>
      <c r="K18" s="62" t="n">
        <f aca="false">Fixed_Assets!K25*Assumptions!$C$18</f>
        <v>741</v>
      </c>
      <c r="L18" s="62" t="n">
        <f aca="false">Fixed_Assets!L25*Assumptions!$C$18</f>
        <v>285</v>
      </c>
      <c r="M18" s="62" t="n">
        <f aca="false">Fixed_Assets!M25*Assumptions!$C$18</f>
        <v>1406</v>
      </c>
      <c r="N18" s="62" t="n">
        <f aca="false">Fixed_Assets!N25*Assumptions!$C$18</f>
        <v>950</v>
      </c>
      <c r="O18" s="62" t="n">
        <f aca="false">Fixed_Assets!O25*Assumptions!$C$18</f>
        <v>494</v>
      </c>
      <c r="P18" s="62" t="n">
        <f aca="false">Fixed_Assets!P25*Assumptions!$C$18</f>
        <v>494</v>
      </c>
      <c r="Q18" s="62" t="n">
        <f aca="false">Fixed_Assets!Q25*Assumptions!$C$18</f>
        <v>1192.82</v>
      </c>
      <c r="R18" s="62" t="n">
        <f aca="false">Fixed_Assets!R25*Assumptions!$C$18</f>
        <v>508.82</v>
      </c>
      <c r="S18" s="62" t="n">
        <f aca="false">Fixed_Assets!S25*Assumptions!$C$18</f>
        <v>508.82</v>
      </c>
      <c r="T18" s="62" t="n">
        <f aca="false">Fixed_Assets!T25*Assumptions!$C$18</f>
        <v>805.22</v>
      </c>
      <c r="U18" s="62" t="n">
        <f aca="false">Fixed_Assets!U25*Assumptions!$C$18</f>
        <v>508.82</v>
      </c>
      <c r="V18" s="62" t="n">
        <f aca="false">Fixed_Assets!V25*Assumptions!$C$18</f>
        <v>508.82</v>
      </c>
      <c r="W18" s="62" t="n">
        <f aca="false">Fixed_Assets!W25*Assumptions!$C$18</f>
        <v>508.82</v>
      </c>
      <c r="X18" s="62" t="n">
        <f aca="false">Fixed_Assets!X25*Assumptions!$C$18</f>
        <v>508.82</v>
      </c>
      <c r="Y18" s="62" t="n">
        <f aca="false">Fixed_Assets!Y25*Assumptions!$C$18</f>
        <v>1420.82</v>
      </c>
      <c r="Z18" s="62" t="n">
        <f aca="false">Fixed_Assets!Z25*Assumptions!$C$18</f>
        <v>508.82</v>
      </c>
      <c r="AA18" s="62" t="n">
        <f aca="false">Fixed_Assets!AA25*Assumptions!$C$18</f>
        <v>508.82</v>
      </c>
      <c r="AB18" s="62" t="n">
        <f aca="false">Fixed_Assets!AB25*Assumptions!$C$18</f>
        <v>508.82</v>
      </c>
    </row>
    <row r="19" customFormat="false" ht="15" hidden="false" customHeight="false" outlineLevel="0" collapsed="false">
      <c r="A19" s="68" t="s">
        <v>1429</v>
      </c>
      <c r="B19" s="69"/>
      <c r="C19" s="70" t="n">
        <f aca="false">SUM(E19:P19)</f>
        <v>260180.384975017</v>
      </c>
      <c r="D19" s="70" t="n">
        <f aca="false">SUM(Q19:AB19)</f>
        <v>231854.340962604</v>
      </c>
      <c r="E19" s="70" t="n">
        <f aca="false">E14+E15+E16+E17+E18</f>
        <v>16732.03319</v>
      </c>
      <c r="F19" s="70" t="n">
        <f aca="false">F14+F15+F16+F17+F18</f>
        <v>22392.79662</v>
      </c>
      <c r="G19" s="70" t="n">
        <f aca="false">G14+G15+G16+G17+G18</f>
        <v>19335.51275</v>
      </c>
      <c r="H19" s="70" t="n">
        <f aca="false">H14+H15+H16+H17+H18</f>
        <v>19328.679265</v>
      </c>
      <c r="I19" s="70" t="n">
        <f aca="false">I14+I15+I16+I17+I18</f>
        <v>24089.868455</v>
      </c>
      <c r="J19" s="70" t="n">
        <f aca="false">J14+J15+J16+J17+J18</f>
        <v>26166.928105</v>
      </c>
      <c r="K19" s="70" t="n">
        <f aca="false">K14+K15+K16+K17+K18</f>
        <v>24086.21356</v>
      </c>
      <c r="L19" s="70" t="n">
        <f aca="false">L14+L15+L16+L17+L18</f>
        <v>17818.770145</v>
      </c>
      <c r="M19" s="70" t="n">
        <f aca="false">M14+M15+M16+M17+M18</f>
        <v>26678.3288653937</v>
      </c>
      <c r="N19" s="70" t="n">
        <f aca="false">N14+N15+N16+N17+N18</f>
        <v>24616.7140510626</v>
      </c>
      <c r="O19" s="70" t="n">
        <f aca="false">O14+O15+O16+O17+O18</f>
        <v>18371.3931605993</v>
      </c>
      <c r="P19" s="70" t="n">
        <f aca="false">P14+P15+P16+P17+P18</f>
        <v>20563.1468079618</v>
      </c>
      <c r="Q19" s="70" t="n">
        <f aca="false">Q14+Q15+Q16+Q17+Q18</f>
        <v>27332.1902645606</v>
      </c>
      <c r="R19" s="70" t="n">
        <f aca="false">R14+R15+R16+R17+R18</f>
        <v>20788.2890001803</v>
      </c>
      <c r="S19" s="70" t="n">
        <f aca="false">S14+S15+S16+S17+S18</f>
        <v>18360.4691117956</v>
      </c>
      <c r="T19" s="70" t="n">
        <f aca="false">T14+T15+T16+T17+T18</f>
        <v>21751.4508319412</v>
      </c>
      <c r="U19" s="70" t="n">
        <f aca="false">U14+U15+U16+U17+U18</f>
        <v>17294.7549601352</v>
      </c>
      <c r="V19" s="70" t="n">
        <f aca="false">V14+V15+V16+V17+V18</f>
        <v>18178.0841038437</v>
      </c>
      <c r="W19" s="70" t="n">
        <f aca="false">W14+W15+W16+W17+W18</f>
        <v>17910.1760755941</v>
      </c>
      <c r="X19" s="70" t="n">
        <f aca="false">X14+X15+X16+X17+X18</f>
        <v>17243.533825503</v>
      </c>
      <c r="Y19" s="70" t="n">
        <f aca="false">Y14+Y15+Y16+Y17+Y18</f>
        <v>19869.1593344104</v>
      </c>
      <c r="Z19" s="70" t="n">
        <f aca="false">Z14+Z15+Z16+Z17+Z18</f>
        <v>17517.8630086951</v>
      </c>
      <c r="AA19" s="70" t="n">
        <f aca="false">AA14+AA15+AA16+AA17+AA18</f>
        <v>17659.597672227</v>
      </c>
      <c r="AB19" s="70" t="n">
        <f aca="false">AB14+AB15+AB16+AB17+AB18</f>
        <v>17948.7727737176</v>
      </c>
    </row>
    <row r="20" customFormat="false" ht="15" hidden="false" customHeight="false" outlineLevel="0" collapsed="false">
      <c r="A20" s="23" t="s">
        <v>1430</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row>
    <row r="21" customFormat="false" ht="15" hidden="false" customHeight="false" outlineLevel="0" collapsed="false">
      <c r="A21" s="29" t="s">
        <v>1431</v>
      </c>
      <c r="B21" s="60"/>
      <c r="C21" s="61" t="n">
        <f aca="false">SUM(E21:P21)</f>
        <v>983496.970264189</v>
      </c>
      <c r="D21" s="61" t="n">
        <f aca="false">SUM(Q21:AB21)</f>
        <v>1225469.39129075</v>
      </c>
      <c r="E21" s="71" t="n">
        <f aca="false">E12-E19</f>
        <v>69027.50681</v>
      </c>
      <c r="F21" s="71" t="n">
        <f aca="false">F12-F19</f>
        <v>72578.44118</v>
      </c>
      <c r="G21" s="71" t="n">
        <f aca="false">G12-G19</f>
        <v>70419.14775</v>
      </c>
      <c r="H21" s="71" t="n">
        <f aca="false">H12-H19</f>
        <v>96416.366235</v>
      </c>
      <c r="I21" s="71" t="n">
        <f aca="false">I12-I19</f>
        <v>68089.038145</v>
      </c>
      <c r="J21" s="71" t="n">
        <f aca="false">J12-J19</f>
        <v>87280.027495</v>
      </c>
      <c r="K21" s="71" t="n">
        <f aca="false">K12-K19</f>
        <v>75685.38304</v>
      </c>
      <c r="L21" s="71" t="n">
        <f aca="false">L12-L19</f>
        <v>88417.227555</v>
      </c>
      <c r="M21" s="71" t="n">
        <f aca="false">M12-M19</f>
        <v>53554.5402686063</v>
      </c>
      <c r="N21" s="71" t="n">
        <f aca="false">N12-N19</f>
        <v>97259.9366265384</v>
      </c>
      <c r="O21" s="71" t="n">
        <f aca="false">O12-O19</f>
        <v>85364.5542897032</v>
      </c>
      <c r="P21" s="71" t="n">
        <f aca="false">P12-P19</f>
        <v>119404.800869341</v>
      </c>
      <c r="Q21" s="71" t="n">
        <f aca="false">Q12-Q19</f>
        <v>105257.18418703</v>
      </c>
      <c r="R21" s="71" t="n">
        <f aca="false">R12-R19</f>
        <v>106191.640025824</v>
      </c>
      <c r="S21" s="71" t="n">
        <f aca="false">S12-S19</f>
        <v>98491.0095728204</v>
      </c>
      <c r="T21" s="71" t="n">
        <f aca="false">T12-T19</f>
        <v>96706.296931063</v>
      </c>
      <c r="U21" s="71" t="n">
        <f aca="false">U12-U19</f>
        <v>107671.461053924</v>
      </c>
      <c r="V21" s="71" t="n">
        <f aca="false">V12-V19</f>
        <v>72076.8519323</v>
      </c>
      <c r="W21" s="71" t="n">
        <f aca="false">W12-W19</f>
        <v>111787.588788578</v>
      </c>
      <c r="X21" s="71" t="n">
        <f aca="false">X12-X19</f>
        <v>102811.439183376</v>
      </c>
      <c r="Y21" s="71" t="n">
        <f aca="false">Y12-Y19</f>
        <v>93529.7058869168</v>
      </c>
      <c r="Z21" s="71" t="n">
        <f aca="false">Z12-Z19</f>
        <v>114618.461331651</v>
      </c>
      <c r="AA21" s="71" t="n">
        <f aca="false">AA12-AA19</f>
        <v>105114.283816577</v>
      </c>
      <c r="AB21" s="71" t="n">
        <f aca="false">AB12-AB19</f>
        <v>111213.468580688</v>
      </c>
    </row>
    <row r="22" customFormat="false" ht="15" hidden="false" customHeight="false" outlineLevel="0" collapsed="false">
      <c r="A22" s="29" t="s">
        <v>1432</v>
      </c>
      <c r="B22" s="60"/>
      <c r="E22" s="62" t="n">
        <f aca="false">(Inputs_Actuals!$C$208+Inputs_Actuals!$C$209-Assumptions!$C$21)</f>
        <v>89274.17</v>
      </c>
      <c r="F22" s="71" t="n">
        <f aca="false">E25</f>
        <v>78952.80681</v>
      </c>
      <c r="G22" s="71" t="n">
        <f aca="false">F25</f>
        <v>53605.94799</v>
      </c>
      <c r="H22" s="71" t="n">
        <f aca="false">G25</f>
        <v>54997.58893</v>
      </c>
      <c r="I22" s="71" t="n">
        <f aca="false">H25</f>
        <v>78835.513985</v>
      </c>
      <c r="J22" s="71" t="n">
        <f aca="false">I25</f>
        <v>76505.40438</v>
      </c>
      <c r="K22" s="71" t="n">
        <f aca="false">J25</f>
        <v>67369.06564</v>
      </c>
      <c r="L22" s="71" t="n">
        <f aca="false">K25</f>
        <v>74965.410535</v>
      </c>
      <c r="M22" s="71" t="n">
        <f aca="false">L25</f>
        <v>76102.610595</v>
      </c>
      <c r="N22" s="71" t="n">
        <f aca="false">M25</f>
        <v>53971.7678236063</v>
      </c>
      <c r="O22" s="71" t="n">
        <f aca="false">N25</f>
        <v>62814.4768951447</v>
      </c>
      <c r="P22" s="71" t="n">
        <f aca="false">O25</f>
        <v>94624.4909162415</v>
      </c>
      <c r="Q22" s="71" t="n">
        <f aca="false">P25</f>
        <v>116769.355159044</v>
      </c>
      <c r="R22" s="71" t="n">
        <f aca="false">Q25</f>
        <v>136661.985056371</v>
      </c>
      <c r="S22" s="71" t="n">
        <f aca="false">R25</f>
        <v>122040.008734291</v>
      </c>
      <c r="T22" s="71" t="n">
        <f aca="false">S25</f>
        <v>115273.834120082</v>
      </c>
      <c r="U22" s="71" t="n">
        <f aca="false">T25</f>
        <v>105788.491025321</v>
      </c>
      <c r="V22" s="71" t="n">
        <f aca="false">U25</f>
        <v>114968.942506424</v>
      </c>
      <c r="W22" s="71" t="n">
        <f aca="false">V25</f>
        <v>90339.4975076614</v>
      </c>
      <c r="X22" s="71" t="n">
        <f aca="false">W25</f>
        <v>94455.6252423151</v>
      </c>
      <c r="Y22" s="71" t="n">
        <f aca="false">X25</f>
        <v>125190.212493391</v>
      </c>
      <c r="Z22" s="71" t="n">
        <f aca="false">Y25</f>
        <v>106932.32959173</v>
      </c>
      <c r="AA22" s="71" t="n">
        <f aca="false">Z25</f>
        <v>118739.351740005</v>
      </c>
      <c r="AB22" s="71" t="n">
        <f aca="false">AA25</f>
        <v>130323.929669666</v>
      </c>
    </row>
    <row r="23" customFormat="false" ht="15" hidden="false" customHeight="false" outlineLevel="0" collapsed="false">
      <c r="A23" s="29" t="s">
        <v>1433</v>
      </c>
      <c r="B23" s="60"/>
      <c r="C23" s="61" t="n">
        <f aca="false">SUM(E23:P23)</f>
        <v>-868001.785105145</v>
      </c>
      <c r="D23" s="61" t="n">
        <f aca="false">SUM(Q23:AB23)</f>
        <v>-1125910.99405253</v>
      </c>
      <c r="E23" s="62" t="n">
        <f aca="false">-Inputs_Actuals!$C$208</f>
        <v>-79348.87</v>
      </c>
      <c r="F23" s="62" t="n">
        <f aca="false">-(Inputs_Actuals!$C$209-Assumptions!$C$21)</f>
        <v>-9925.3</v>
      </c>
      <c r="G23" s="71" t="n">
        <f aca="false">-E21</f>
        <v>-69027.50681</v>
      </c>
      <c r="H23" s="71" t="n">
        <f aca="false">-F21</f>
        <v>-72578.44118</v>
      </c>
      <c r="I23" s="71" t="n">
        <f aca="false">-G21</f>
        <v>-70419.14775</v>
      </c>
      <c r="J23" s="71" t="n">
        <f aca="false">-H21</f>
        <v>-96416.366235</v>
      </c>
      <c r="K23" s="71" t="n">
        <f aca="false">-I21</f>
        <v>-68089.038145</v>
      </c>
      <c r="L23" s="71" t="n">
        <f aca="false">-J21</f>
        <v>-87280.027495</v>
      </c>
      <c r="M23" s="71" t="n">
        <f aca="false">-K21</f>
        <v>-75685.38304</v>
      </c>
      <c r="N23" s="71" t="n">
        <f aca="false">-L21</f>
        <v>-88417.227555</v>
      </c>
      <c r="O23" s="71" t="n">
        <f aca="false">-M21</f>
        <v>-53554.5402686063</v>
      </c>
      <c r="P23" s="71" t="n">
        <f aca="false">-N21</f>
        <v>-97259.9366265384</v>
      </c>
      <c r="Q23" s="71" t="n">
        <f aca="false">-O21</f>
        <v>-85364.5542897032</v>
      </c>
      <c r="R23" s="62" t="n">
        <f aca="false">-(P21-Assumptions!$C$22)</f>
        <v>-31404.8008693409</v>
      </c>
      <c r="S23" s="71" t="n">
        <f aca="false">-Q21</f>
        <v>-105257.18418703</v>
      </c>
      <c r="T23" s="71" t="n">
        <f aca="false">-R21</f>
        <v>-106191.640025824</v>
      </c>
      <c r="U23" s="71" t="n">
        <f aca="false">-S21</f>
        <v>-98491.0095728204</v>
      </c>
      <c r="V23" s="71" t="n">
        <f aca="false">-T21</f>
        <v>-96706.296931063</v>
      </c>
      <c r="W23" s="71" t="n">
        <f aca="false">-U21</f>
        <v>-107671.461053924</v>
      </c>
      <c r="X23" s="71" t="n">
        <f aca="false">-V21</f>
        <v>-72076.8519323</v>
      </c>
      <c r="Y23" s="71" t="n">
        <f aca="false">-W21</f>
        <v>-111787.588788578</v>
      </c>
      <c r="Z23" s="71" t="n">
        <f aca="false">-X21</f>
        <v>-102811.439183376</v>
      </c>
      <c r="AA23" s="71" t="n">
        <f aca="false">-Y21</f>
        <v>-93529.7058869168</v>
      </c>
      <c r="AB23" s="71" t="n">
        <f aca="false">-Z21</f>
        <v>-114618.461331651</v>
      </c>
    </row>
    <row r="24" customFormat="false" ht="15" hidden="false" customHeight="false" outlineLevel="0" collapsed="false">
      <c r="A24" s="29" t="s">
        <v>1434</v>
      </c>
      <c r="B24" s="60"/>
      <c r="C24" s="61" t="n">
        <f aca="false">SUM(E24:P24)</f>
        <v>-88000</v>
      </c>
      <c r="D24" s="61" t="n">
        <f aca="false">SUM(Q24:AB24)</f>
        <v>-89408.8154785626</v>
      </c>
      <c r="E24" s="71" t="n">
        <f aca="false">0</f>
        <v>0</v>
      </c>
      <c r="F24" s="62" t="n">
        <f aca="false">-Assumptions!$C$22</f>
        <v>-88000</v>
      </c>
      <c r="G24" s="71" t="n">
        <f aca="false">0</f>
        <v>0</v>
      </c>
      <c r="H24" s="71" t="n">
        <f aca="false">0</f>
        <v>0</v>
      </c>
      <c r="I24" s="71" t="n">
        <f aca="false">0</f>
        <v>0</v>
      </c>
      <c r="J24" s="71" t="n">
        <f aca="false">0</f>
        <v>0</v>
      </c>
      <c r="K24" s="71" t="n">
        <f aca="false">0</f>
        <v>0</v>
      </c>
      <c r="L24" s="71" t="n">
        <f aca="false">0</f>
        <v>0</v>
      </c>
      <c r="M24" s="71" t="n">
        <f aca="false">0</f>
        <v>0</v>
      </c>
      <c r="N24" s="71" t="n">
        <f aca="false">0</f>
        <v>0</v>
      </c>
      <c r="O24" s="71" t="n">
        <f aca="false">0</f>
        <v>0</v>
      </c>
      <c r="P24" s="71" t="n">
        <f aca="false">0</f>
        <v>0</v>
      </c>
      <c r="Q24" s="71" t="n">
        <f aca="false">0</f>
        <v>0</v>
      </c>
      <c r="R24" s="71" t="n">
        <f aca="false">-MAX(0,SUM(E21:P21))/11</f>
        <v>-89408.8154785626</v>
      </c>
      <c r="S24" s="71" t="n">
        <f aca="false">0</f>
        <v>0</v>
      </c>
      <c r="T24" s="71" t="n">
        <f aca="false">0</f>
        <v>0</v>
      </c>
      <c r="U24" s="71" t="n">
        <f aca="false">0</f>
        <v>0</v>
      </c>
      <c r="V24" s="71" t="n">
        <f aca="false">0</f>
        <v>0</v>
      </c>
      <c r="W24" s="71" t="n">
        <f aca="false">0</f>
        <v>0</v>
      </c>
      <c r="X24" s="71" t="n">
        <f aca="false">0</f>
        <v>0</v>
      </c>
      <c r="Y24" s="71" t="n">
        <f aca="false">0</f>
        <v>0</v>
      </c>
      <c r="Z24" s="71" t="n">
        <f aca="false">0</f>
        <v>0</v>
      </c>
      <c r="AA24" s="71" t="n">
        <f aca="false">0</f>
        <v>0</v>
      </c>
      <c r="AB24" s="71" t="n">
        <f aca="false">0</f>
        <v>0</v>
      </c>
    </row>
    <row r="25" customFormat="false" ht="15" hidden="false" customHeight="false" outlineLevel="0" collapsed="false">
      <c r="A25" s="68" t="s">
        <v>1435</v>
      </c>
      <c r="B25" s="69"/>
      <c r="C25" s="70" t="n">
        <f aca="false">P25</f>
        <v>116769.355159044</v>
      </c>
      <c r="D25" s="70" t="n">
        <f aca="false">AB25</f>
        <v>126918.936918703</v>
      </c>
      <c r="E25" s="70" t="n">
        <f aca="false">E22+E21+E23+E24</f>
        <v>78952.80681</v>
      </c>
      <c r="F25" s="70" t="n">
        <f aca="false">F22+F21+F23+F24</f>
        <v>53605.94799</v>
      </c>
      <c r="G25" s="70" t="n">
        <f aca="false">G22+G21+G23+G24</f>
        <v>54997.58893</v>
      </c>
      <c r="H25" s="70" t="n">
        <f aca="false">H22+H21+H23+H24</f>
        <v>78835.513985</v>
      </c>
      <c r="I25" s="70" t="n">
        <f aca="false">I22+I21+I23+I24</f>
        <v>76505.40438</v>
      </c>
      <c r="J25" s="70" t="n">
        <f aca="false">J22+J21+J23+J24</f>
        <v>67369.06564</v>
      </c>
      <c r="K25" s="70" t="n">
        <f aca="false">K22+K21+K23+K24</f>
        <v>74965.410535</v>
      </c>
      <c r="L25" s="70" t="n">
        <f aca="false">L22+L21+L23+L24</f>
        <v>76102.610595</v>
      </c>
      <c r="M25" s="70" t="n">
        <f aca="false">M22+M21+M23+M24</f>
        <v>53971.7678236063</v>
      </c>
      <c r="N25" s="70" t="n">
        <f aca="false">N22+N21+N23+N24</f>
        <v>62814.4768951447</v>
      </c>
      <c r="O25" s="70" t="n">
        <f aca="false">O22+O21+O23+O24</f>
        <v>94624.4909162415</v>
      </c>
      <c r="P25" s="70" t="n">
        <f aca="false">P22+P21+P23+P24</f>
        <v>116769.355159044</v>
      </c>
      <c r="Q25" s="70" t="n">
        <f aca="false">Q22+Q21+Q23+Q24</f>
        <v>136661.985056371</v>
      </c>
      <c r="R25" s="70" t="n">
        <f aca="false">R22+R21+R23+R24</f>
        <v>122040.008734291</v>
      </c>
      <c r="S25" s="70" t="n">
        <f aca="false">S22+S21+S23+S24</f>
        <v>115273.834120082</v>
      </c>
      <c r="T25" s="70" t="n">
        <f aca="false">T22+T21+T23+T24</f>
        <v>105788.491025321</v>
      </c>
      <c r="U25" s="70" t="n">
        <f aca="false">U22+U21+U23+U24</f>
        <v>114968.942506424</v>
      </c>
      <c r="V25" s="70" t="n">
        <f aca="false">V22+V21+V23+V24</f>
        <v>90339.4975076614</v>
      </c>
      <c r="W25" s="70" t="n">
        <f aca="false">W22+W21+W23+W24</f>
        <v>94455.6252423151</v>
      </c>
      <c r="X25" s="70" t="n">
        <f aca="false">X22+X21+X23+X24</f>
        <v>125190.212493391</v>
      </c>
      <c r="Y25" s="70" t="n">
        <f aca="false">Y22+Y21+Y23+Y24</f>
        <v>106932.32959173</v>
      </c>
      <c r="Z25" s="70" t="n">
        <f aca="false">Z22+Z21+Z23+Z24</f>
        <v>118739.351740005</v>
      </c>
      <c r="AA25" s="70" t="n">
        <f aca="false">AA22+AA21+AA23+AA24</f>
        <v>130323.929669666</v>
      </c>
      <c r="AB25" s="70" t="n">
        <f aca="false">AB22+AB21+AB23+AB24</f>
        <v>126918.936918703</v>
      </c>
    </row>
    <row r="26" customFormat="false" ht="15" hidden="false" customHeight="false" outlineLevel="0" collapsed="false">
      <c r="A26" s="29" t="s">
        <v>1436</v>
      </c>
      <c r="B26" s="60" t="s">
        <v>862</v>
      </c>
      <c r="E26" s="62" t="n">
        <f aca="false">ROUND(E25-(E21+Inputs_Actuals!$C$209-Assumptions!$C$21),0)</f>
        <v>0</v>
      </c>
      <c r="F26" s="62" t="n">
        <f aca="false">ROUND(F25-(F21+E21-Assumptions!$C$22),0)</f>
        <v>0</v>
      </c>
      <c r="G26" s="62" t="n">
        <f aca="false">ROUND(G25-(G21+F21-Assumptions!$C$22),0)</f>
        <v>0</v>
      </c>
      <c r="H26" s="62" t="n">
        <f aca="false">ROUND(H25-(H21+G21-Assumptions!$C$22),0)</f>
        <v>0</v>
      </c>
      <c r="I26" s="62" t="n">
        <f aca="false">ROUND(I25-(I21+H21-Assumptions!$C$22),0)</f>
        <v>0</v>
      </c>
      <c r="J26" s="62" t="n">
        <f aca="false">ROUND(J25-(J21+I21-Assumptions!$C$22),0)</f>
        <v>0</v>
      </c>
      <c r="K26" s="62" t="n">
        <f aca="false">ROUND(K25-(K21+J21-Assumptions!$C$22),0)</f>
        <v>0</v>
      </c>
      <c r="L26" s="62" t="n">
        <f aca="false">ROUND(L25-(L21+K21-Assumptions!$C$22),0)</f>
        <v>0</v>
      </c>
      <c r="M26" s="62" t="n">
        <f aca="false">ROUND(M25-(M21+L21-Assumptions!$C$22),0)</f>
        <v>0</v>
      </c>
      <c r="N26" s="62" t="n">
        <f aca="false">ROUND(N25-(N21+M21-Assumptions!$C$22),0)</f>
        <v>0</v>
      </c>
      <c r="O26" s="62" t="n">
        <f aca="false">ROUND(O25-(O21+N21-Assumptions!$C$22),0)</f>
        <v>0</v>
      </c>
      <c r="P26" s="62" t="n">
        <f aca="false">ROUND(P25-(P21+O21-Assumptions!$C$22),0)</f>
        <v>0</v>
      </c>
      <c r="Q26" s="62" t="n">
        <f aca="false">ROUND(Q25-(Q21+P21-Assumptions!$C$22),0)</f>
        <v>0</v>
      </c>
      <c r="R26" s="71" t="n">
        <f aca="false">ROUND(R25-(R21+Q21-(-R24)),0)</f>
        <v>0</v>
      </c>
      <c r="S26" s="71" t="n">
        <f aca="false">ROUND(S25-(S21+R21-(-R24)),0)</f>
        <v>0</v>
      </c>
      <c r="T26" s="71" t="n">
        <f aca="false">ROUND(T25-(T21+S21-(-R24)),0)</f>
        <v>0</v>
      </c>
      <c r="U26" s="71" t="n">
        <f aca="false">ROUND(U25-(U21+T21-(-R24)),0)</f>
        <v>0</v>
      </c>
      <c r="V26" s="71" t="n">
        <f aca="false">ROUND(V25-(V21+U21-(-R24)),0)</f>
        <v>0</v>
      </c>
      <c r="W26" s="71" t="n">
        <f aca="false">ROUND(W25-(W21+V21-(-R24)),0)</f>
        <v>0</v>
      </c>
      <c r="X26" s="71" t="n">
        <f aca="false">ROUND(X25-(X21+W21-(-R24)),0)</f>
        <v>0</v>
      </c>
      <c r="Y26" s="71" t="n">
        <f aca="false">ROUND(Y25-(Y21+X21-(-R24)),0)</f>
        <v>0</v>
      </c>
      <c r="Z26" s="71" t="n">
        <f aca="false">ROUND(Z25-(Z21+Y21-(-R24)),0)</f>
        <v>0</v>
      </c>
      <c r="AA26" s="71" t="n">
        <f aca="false">ROUND(AA25-(AA21+Z21-(-R24)),0)</f>
        <v>0</v>
      </c>
      <c r="AB26" s="71" t="n">
        <f aca="false">ROUND(AB25-(AB21+AA21-(-R24)),0)</f>
        <v>0</v>
      </c>
    </row>
    <row r="27" customFormat="false" ht="15" hidden="false" customHeight="false" outlineLevel="0" collapsed="false">
      <c r="A27" s="29" t="s">
        <v>1437</v>
      </c>
      <c r="B27" s="60" t="s">
        <v>54</v>
      </c>
      <c r="C27" s="61" t="n">
        <f aca="false">SUM(E27:P27)</f>
        <v>180000</v>
      </c>
      <c r="D27" s="61" t="n">
        <f aca="false">SUM(Q27:AB27)</f>
        <v>273459.14112</v>
      </c>
      <c r="E27" s="62" t="n">
        <f aca="false">Clients!E155</f>
        <v>0</v>
      </c>
      <c r="F27" s="62" t="n">
        <f aca="false">Clients!F155</f>
        <v>0</v>
      </c>
      <c r="G27" s="62" t="n">
        <f aca="false">Clients!G155</f>
        <v>0</v>
      </c>
      <c r="H27" s="62" t="n">
        <f aca="false">Clients!H155</f>
        <v>0</v>
      </c>
      <c r="I27" s="62" t="n">
        <f aca="false">Clients!I155</f>
        <v>0</v>
      </c>
      <c r="J27" s="62" t="n">
        <f aca="false">Clients!J155</f>
        <v>54000</v>
      </c>
      <c r="K27" s="62" t="n">
        <f aca="false">Clients!K155</f>
        <v>0</v>
      </c>
      <c r="L27" s="62" t="n">
        <f aca="false">Clients!L155</f>
        <v>0</v>
      </c>
      <c r="M27" s="62" t="n">
        <f aca="false">Clients!M155</f>
        <v>72000</v>
      </c>
      <c r="N27" s="62" t="n">
        <f aca="false">Clients!N155</f>
        <v>0</v>
      </c>
      <c r="O27" s="62" t="n">
        <f aca="false">Clients!O155</f>
        <v>54000</v>
      </c>
      <c r="P27" s="62" t="n">
        <f aca="false">Clients!P155</f>
        <v>0</v>
      </c>
      <c r="Q27" s="62" t="n">
        <f aca="false">Clients!Q155</f>
        <v>0</v>
      </c>
      <c r="R27" s="62" t="n">
        <f aca="false">Clients!R155</f>
        <v>36340.0851986711</v>
      </c>
      <c r="S27" s="62" t="n">
        <f aca="false">Clients!S155</f>
        <v>37475.7128611296</v>
      </c>
      <c r="T27" s="62" t="n">
        <f aca="false">Clients!T155</f>
        <v>40201.2192510299</v>
      </c>
      <c r="U27" s="62" t="n">
        <f aca="false">Clients!U155</f>
        <v>42018.2235109635</v>
      </c>
      <c r="V27" s="62" t="n">
        <f aca="false">Clients!V155</f>
        <v>32024.7000813289</v>
      </c>
      <c r="W27" s="62" t="n">
        <f aca="false">Clients!W155</f>
        <v>43380.9767059136</v>
      </c>
      <c r="X27" s="62" t="n">
        <f aca="false">Clients!X155</f>
        <v>42018.2235109635</v>
      </c>
      <c r="Y27" s="62" t="n">
        <f aca="false">Clients!Y155</f>
        <v>0</v>
      </c>
      <c r="Z27" s="62" t="n">
        <f aca="false">Clients!Z155</f>
        <v>0</v>
      </c>
      <c r="AA27" s="62" t="n">
        <f aca="false">Clients!AA155</f>
        <v>0</v>
      </c>
      <c r="AB27" s="62" t="n">
        <f aca="false">Clients!AB155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1438</v>
      </c>
    </row>
    <row r="3" customFormat="false" ht="15" hidden="false" customHeight="false" outlineLevel="0" collapsed="false">
      <c r="A3" s="51" t="s">
        <v>1439</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1440</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1441</v>
      </c>
      <c r="B9" s="60" t="s">
        <v>31</v>
      </c>
      <c r="C9" s="61" t="n">
        <f aca="false">SUM(E9:P9)</f>
        <v>792764.491882803</v>
      </c>
      <c r="D9" s="61" t="n">
        <f aca="false">SUM(Q9:AB9)</f>
        <v>849264.097101296</v>
      </c>
      <c r="E9" s="62" t="n">
        <f aca="false">PL!E48</f>
        <v>-25949.2538874337</v>
      </c>
      <c r="F9" s="62" t="n">
        <f aca="false">PL!F48</f>
        <v>-29111.2724352258</v>
      </c>
      <c r="G9" s="62" t="n">
        <f aca="false">PL!G48</f>
        <v>113898.863222206</v>
      </c>
      <c r="H9" s="62" t="n">
        <f aca="false">PL!H48</f>
        <v>31679.4807035418</v>
      </c>
      <c r="I9" s="62" t="n">
        <f aca="false">PL!I48</f>
        <v>18471.364500873</v>
      </c>
      <c r="J9" s="62" t="n">
        <f aca="false">PL!J48</f>
        <v>150869.005415122</v>
      </c>
      <c r="K9" s="62" t="n">
        <f aca="false">PL!K48</f>
        <v>-61707.5000953076</v>
      </c>
      <c r="L9" s="62" t="n">
        <f aca="false">PL!L48</f>
        <v>-24497.0947540662</v>
      </c>
      <c r="M9" s="62" t="n">
        <f aca="false">PL!M48</f>
        <v>172683.204440087</v>
      </c>
      <c r="N9" s="62" t="n">
        <f aca="false">PL!N48</f>
        <v>109483.912443103</v>
      </c>
      <c r="O9" s="62" t="n">
        <f aca="false">PL!O48</f>
        <v>149212.919461361</v>
      </c>
      <c r="P9" s="62" t="n">
        <f aca="false">PL!P48</f>
        <v>187730.862868543</v>
      </c>
      <c r="Q9" s="62" t="n">
        <f aca="false">PL!Q48</f>
        <v>58506.1138895115</v>
      </c>
      <c r="R9" s="62" t="n">
        <f aca="false">PL!R48</f>
        <v>114473.102579744</v>
      </c>
      <c r="S9" s="62" t="n">
        <f aca="false">PL!S48</f>
        <v>123340.817818395</v>
      </c>
      <c r="T9" s="62" t="n">
        <f aca="false">PL!T48</f>
        <v>98398.1640656138</v>
      </c>
      <c r="U9" s="62" t="n">
        <f aca="false">PL!U48</f>
        <v>-51956.2481594353</v>
      </c>
      <c r="V9" s="62" t="n">
        <f aca="false">PL!V48</f>
        <v>116398.015207758</v>
      </c>
      <c r="W9" s="62" t="n">
        <f aca="false">PL!W48</f>
        <v>82134.4976206075</v>
      </c>
      <c r="X9" s="62" t="n">
        <f aca="false">PL!X48</f>
        <v>-6976.2518563277</v>
      </c>
      <c r="Y9" s="62" t="n">
        <f aca="false">PL!Y48</f>
        <v>99722.4799583762</v>
      </c>
      <c r="Z9" s="62" t="n">
        <f aca="false">PL!Z48</f>
        <v>38168.2275665839</v>
      </c>
      <c r="AA9" s="62" t="n">
        <f aca="false">PL!AA48</f>
        <v>62788.2914655347</v>
      </c>
      <c r="AB9" s="62" t="n">
        <f aca="false">PL!AB48</f>
        <v>114266.886944934</v>
      </c>
    </row>
    <row r="10" customFormat="false" ht="15" hidden="false" customHeight="false" outlineLevel="0" collapsed="false">
      <c r="A10" s="29" t="s">
        <v>1442</v>
      </c>
      <c r="B10" s="60" t="s">
        <v>74</v>
      </c>
      <c r="C10" s="61" t="n">
        <f aca="false">SUM(E10:P10)</f>
        <v>7521</v>
      </c>
      <c r="D10" s="61" t="n">
        <f aca="false">SUM(Q10:AB10)</f>
        <v>8899.2</v>
      </c>
      <c r="E10" s="62" t="n">
        <f aca="false">Overheads!E30*Assumptions!$C$33</f>
        <v>381.9</v>
      </c>
      <c r="F10" s="62" t="n">
        <f aca="false">Overheads!F30*Assumptions!$C$33</f>
        <v>565.8</v>
      </c>
      <c r="G10" s="62" t="n">
        <f aca="false">Overheads!G30*Assumptions!$C$33</f>
        <v>875.4</v>
      </c>
      <c r="H10" s="62" t="n">
        <f aca="false">Overheads!H30*Assumptions!$C$33</f>
        <v>630.3</v>
      </c>
      <c r="I10" s="62" t="n">
        <f aca="false">Overheads!I30*Assumptions!$C$33</f>
        <v>738</v>
      </c>
      <c r="J10" s="62" t="n">
        <f aca="false">Overheads!J30*Assumptions!$C$33</f>
        <v>696</v>
      </c>
      <c r="K10" s="62" t="n">
        <f aca="false">Overheads!K30*Assumptions!$C$33</f>
        <v>456.6</v>
      </c>
      <c r="L10" s="62" t="n">
        <f aca="false">Overheads!L30*Assumptions!$C$33</f>
        <v>297</v>
      </c>
      <c r="M10" s="62" t="n">
        <f aca="false">Overheads!M30*Assumptions!$C$33</f>
        <v>720</v>
      </c>
      <c r="N10" s="62" t="n">
        <f aca="false">Overheads!N30*Assumptions!$C$33</f>
        <v>720</v>
      </c>
      <c r="O10" s="62" t="n">
        <f aca="false">Overheads!O30*Assumptions!$C$33</f>
        <v>720</v>
      </c>
      <c r="P10" s="62" t="n">
        <f aca="false">Overheads!P30*Assumptions!$C$33</f>
        <v>720</v>
      </c>
      <c r="Q10" s="62" t="n">
        <f aca="false">Overheads!Q30*Assumptions!$C$33</f>
        <v>741.6</v>
      </c>
      <c r="R10" s="62" t="n">
        <f aca="false">Overheads!R30*Assumptions!$C$33</f>
        <v>741.6</v>
      </c>
      <c r="S10" s="62" t="n">
        <f aca="false">Overheads!S30*Assumptions!$C$33</f>
        <v>741.6</v>
      </c>
      <c r="T10" s="62" t="n">
        <f aca="false">Overheads!T30*Assumptions!$C$33</f>
        <v>741.6</v>
      </c>
      <c r="U10" s="62" t="n">
        <f aca="false">Overheads!U30*Assumptions!$C$33</f>
        <v>741.6</v>
      </c>
      <c r="V10" s="62" t="n">
        <f aca="false">Overheads!V30*Assumptions!$C$33</f>
        <v>741.6</v>
      </c>
      <c r="W10" s="62" t="n">
        <f aca="false">Overheads!W30*Assumptions!$C$33</f>
        <v>741.6</v>
      </c>
      <c r="X10" s="62" t="n">
        <f aca="false">Overheads!X30*Assumptions!$C$33</f>
        <v>741.6</v>
      </c>
      <c r="Y10" s="62" t="n">
        <f aca="false">Overheads!Y30*Assumptions!$C$33</f>
        <v>741.6</v>
      </c>
      <c r="Z10" s="62" t="n">
        <f aca="false">Overheads!Z30*Assumptions!$C$33</f>
        <v>741.6</v>
      </c>
      <c r="AA10" s="62" t="n">
        <f aca="false">Overheads!AA30*Assumptions!$C$33</f>
        <v>741.6</v>
      </c>
      <c r="AB10" s="62" t="n">
        <f aca="false">Overheads!AB30*Assumptions!$C$33</f>
        <v>741.6</v>
      </c>
    </row>
    <row r="11" customFormat="false" ht="15" hidden="false" customHeight="false" outlineLevel="0" collapsed="false">
      <c r="A11" s="68" t="s">
        <v>1443</v>
      </c>
      <c r="B11" s="69"/>
      <c r="C11" s="70" t="n">
        <f aca="false">SUM(E11:P11)</f>
        <v>800285.491882803</v>
      </c>
      <c r="D11" s="70" t="n">
        <f aca="false">SUM(Q11:AB11)</f>
        <v>858163.297101296</v>
      </c>
      <c r="E11" s="70" t="n">
        <f aca="false">E9+E10</f>
        <v>-25567.3538874337</v>
      </c>
      <c r="F11" s="70" t="n">
        <f aca="false">F9+F10</f>
        <v>-28545.4724352258</v>
      </c>
      <c r="G11" s="70" t="n">
        <f aca="false">G9+G10</f>
        <v>114774.263222206</v>
      </c>
      <c r="H11" s="70" t="n">
        <f aca="false">H9+H10</f>
        <v>32309.7807035418</v>
      </c>
      <c r="I11" s="70" t="n">
        <f aca="false">I9+I10</f>
        <v>19209.364500873</v>
      </c>
      <c r="J11" s="70" t="n">
        <f aca="false">J9+J10</f>
        <v>151565.005415122</v>
      </c>
      <c r="K11" s="70" t="n">
        <f aca="false">K9+K10</f>
        <v>-61250.9000953076</v>
      </c>
      <c r="L11" s="70" t="n">
        <f aca="false">L9+L10</f>
        <v>-24200.0947540662</v>
      </c>
      <c r="M11" s="70" t="n">
        <f aca="false">M9+M10</f>
        <v>173403.204440087</v>
      </c>
      <c r="N11" s="70" t="n">
        <f aca="false">N9+N10</f>
        <v>110203.912443103</v>
      </c>
      <c r="O11" s="70" t="n">
        <f aca="false">O9+O10</f>
        <v>149932.919461361</v>
      </c>
      <c r="P11" s="70" t="n">
        <f aca="false">P9+P10</f>
        <v>188450.862868543</v>
      </c>
      <c r="Q11" s="70" t="n">
        <f aca="false">Q9+Q10</f>
        <v>59247.7138895115</v>
      </c>
      <c r="R11" s="70" t="n">
        <f aca="false">R9+R10</f>
        <v>115214.702579744</v>
      </c>
      <c r="S11" s="70" t="n">
        <f aca="false">S9+S10</f>
        <v>124082.417818395</v>
      </c>
      <c r="T11" s="70" t="n">
        <f aca="false">T9+T10</f>
        <v>99139.7640656138</v>
      </c>
      <c r="U11" s="70" t="n">
        <f aca="false">U9+U10</f>
        <v>-51214.6481594353</v>
      </c>
      <c r="V11" s="70" t="n">
        <f aca="false">V9+V10</f>
        <v>117139.615207758</v>
      </c>
      <c r="W11" s="70" t="n">
        <f aca="false">W9+W10</f>
        <v>82876.0976206075</v>
      </c>
      <c r="X11" s="70" t="n">
        <f aca="false">X9+X10</f>
        <v>-6234.6518563277</v>
      </c>
      <c r="Y11" s="70" t="n">
        <f aca="false">Y9+Y10</f>
        <v>100464.079958376</v>
      </c>
      <c r="Z11" s="70" t="n">
        <f aca="false">Z9+Z10</f>
        <v>38909.8275665839</v>
      </c>
      <c r="AA11" s="70" t="n">
        <f aca="false">AA9+AA10</f>
        <v>63529.8914655347</v>
      </c>
      <c r="AB11" s="70" t="n">
        <f aca="false">AB9+AB10</f>
        <v>115008.486944934</v>
      </c>
    </row>
    <row r="12" customFormat="false" ht="15" hidden="false" customHeight="false" outlineLevel="0" collapsed="false">
      <c r="A12" s="29" t="s">
        <v>1444</v>
      </c>
      <c r="B12" s="60"/>
      <c r="C12" s="61" t="n">
        <f aca="false">SUM(E12:P12)</f>
        <v>165157.437</v>
      </c>
      <c r="D12" s="61" t="n">
        <f aca="false">SUM(Q12:AB12)</f>
        <v>167830.869</v>
      </c>
      <c r="E12" s="62" t="n">
        <f aca="false">Financing!E12+Financing!E13+0.5*Overheads!E21+0.2*Overheads!E23</f>
        <v>13843.3345</v>
      </c>
      <c r="F12" s="62" t="n">
        <f aca="false">Financing!F12+Financing!F13+0.5*Overheads!F21+0.2*Overheads!F23</f>
        <v>13828.75</v>
      </c>
      <c r="G12" s="62" t="n">
        <f aca="false">Financing!G12+Financing!G13+0.5*Overheads!G21+0.2*Overheads!G23</f>
        <v>13814.1655</v>
      </c>
      <c r="H12" s="62" t="n">
        <f aca="false">Financing!H12+Financing!H13+0.5*Overheads!H21+0.2*Overheads!H23</f>
        <v>13799.581</v>
      </c>
      <c r="I12" s="62" t="n">
        <f aca="false">Financing!I12+Financing!I13+0.5*Overheads!I21+0.2*Overheads!I23</f>
        <v>13784.9965</v>
      </c>
      <c r="J12" s="62" t="n">
        <f aca="false">Financing!J12+Financing!J13+0.5*Overheads!J21+0.2*Overheads!J23</f>
        <v>13770.412</v>
      </c>
      <c r="K12" s="62" t="n">
        <f aca="false">Financing!K12+Financing!K13+0.5*Overheads!K21+0.2*Overheads!K23</f>
        <v>13755.8275</v>
      </c>
      <c r="L12" s="62" t="n">
        <f aca="false">Financing!L12+Financing!L13+0.5*Overheads!L21+0.2*Overheads!L23</f>
        <v>13741.243</v>
      </c>
      <c r="M12" s="62" t="n">
        <f aca="false">Financing!M12+Financing!M13+0.5*Overheads!M21+0.2*Overheads!M23</f>
        <v>13726.6585</v>
      </c>
      <c r="N12" s="62" t="n">
        <f aca="false">Financing!N12+Financing!N13+0.5*Overheads!N21+0.2*Overheads!N23</f>
        <v>13712.074</v>
      </c>
      <c r="O12" s="62" t="n">
        <f aca="false">Financing!O12+Financing!O13+0.5*Overheads!O21+0.2*Overheads!O23</f>
        <v>13697.4895</v>
      </c>
      <c r="P12" s="62" t="n">
        <f aca="false">Financing!P12+Financing!P13+0.5*Overheads!P21+0.2*Overheads!P23</f>
        <v>13682.905</v>
      </c>
      <c r="Q12" s="62" t="n">
        <f aca="false">Financing!Q12+Financing!Q13+0.5*Overheads!Q21+0.2*Overheads!Q23</f>
        <v>14066.1205</v>
      </c>
      <c r="R12" s="62" t="n">
        <f aca="false">Financing!R12+Financing!R13+0.5*Overheads!R21+0.2*Overheads!R23</f>
        <v>14051.536</v>
      </c>
      <c r="S12" s="62" t="n">
        <f aca="false">Financing!S12+Financing!S13+0.5*Overheads!S21+0.2*Overheads!S23</f>
        <v>14036.9515</v>
      </c>
      <c r="T12" s="62" t="n">
        <f aca="false">Financing!T12+Financing!T13+0.5*Overheads!T21+0.2*Overheads!T23</f>
        <v>14022.367</v>
      </c>
      <c r="U12" s="62" t="n">
        <f aca="false">Financing!U12+Financing!U13+0.5*Overheads!U21+0.2*Overheads!U23</f>
        <v>14007.7825</v>
      </c>
      <c r="V12" s="62" t="n">
        <f aca="false">Financing!V12+Financing!V13+0.5*Overheads!V21+0.2*Overheads!V23</f>
        <v>13993.198</v>
      </c>
      <c r="W12" s="62" t="n">
        <f aca="false">Financing!W12+Financing!W13+0.5*Overheads!W21+0.2*Overheads!W23</f>
        <v>13978.6135</v>
      </c>
      <c r="X12" s="62" t="n">
        <f aca="false">Financing!X12+Financing!X13+0.5*Overheads!X21+0.2*Overheads!X23</f>
        <v>13964.029</v>
      </c>
      <c r="Y12" s="62" t="n">
        <f aca="false">Financing!Y12+Financing!Y13+0.5*Overheads!Y21+0.2*Overheads!Y23</f>
        <v>13949.4445</v>
      </c>
      <c r="Z12" s="62" t="n">
        <f aca="false">Financing!Z12+Financing!Z13+0.5*Overheads!Z21+0.2*Overheads!Z23</f>
        <v>13934.86</v>
      </c>
      <c r="AA12" s="62" t="n">
        <f aca="false">Financing!AA12+Financing!AA13+0.5*Overheads!AA21+0.2*Overheads!AA23</f>
        <v>13920.2755</v>
      </c>
      <c r="AB12" s="62" t="n">
        <f aca="false">Financing!AB12+Financing!AB13+0.5*Overheads!AB21+0.2*Overheads!AB23</f>
        <v>13905.691</v>
      </c>
    </row>
    <row r="13" customFormat="false" ht="15" hidden="false" customHeight="false" outlineLevel="0" collapsed="false">
      <c r="A13" s="29" t="s">
        <v>1445</v>
      </c>
      <c r="B13" s="60"/>
      <c r="C13" s="61" t="n">
        <f aca="false">P13</f>
        <v>0</v>
      </c>
      <c r="D13" s="61" t="n">
        <f aca="false">AB13</f>
        <v>0</v>
      </c>
      <c r="E13" s="62" t="n">
        <f aca="false">0.25*MAX(0,SUM(E12:E12)-Assumptions!$C$32)</f>
        <v>0</v>
      </c>
      <c r="F13" s="62" t="n">
        <f aca="false">0.25*MAX(0,SUM(E12:F12)-Assumptions!$C$32)</f>
        <v>0</v>
      </c>
      <c r="G13" s="62" t="n">
        <f aca="false">0.25*MAX(0,SUM(E12:G12)-Assumptions!$C$32)</f>
        <v>0</v>
      </c>
      <c r="H13" s="62" t="n">
        <f aca="false">0.25*MAX(0,SUM(E12:H12)-Assumptions!$C$32)</f>
        <v>0</v>
      </c>
      <c r="I13" s="62" t="n">
        <f aca="false">0.25*MAX(0,SUM(E12:I12)-Assumptions!$C$32)</f>
        <v>0</v>
      </c>
      <c r="J13" s="62" t="n">
        <f aca="false">0.25*MAX(0,SUM(E12:J12)-Assumptions!$C$32)</f>
        <v>0</v>
      </c>
      <c r="K13" s="62" t="n">
        <f aca="false">0.25*MAX(0,SUM(E12:K12)-Assumptions!$C$32)</f>
        <v>0</v>
      </c>
      <c r="L13" s="62" t="n">
        <f aca="false">0.25*MAX(0,SUM(E12:L12)-Assumptions!$C$32)</f>
        <v>0</v>
      </c>
      <c r="M13" s="62" t="n">
        <f aca="false">0.25*MAX(0,SUM(E12:M12)-Assumptions!$C$32)</f>
        <v>0</v>
      </c>
      <c r="N13" s="62" t="n">
        <f aca="false">0.25*MAX(0,SUM(E12:N12)-Assumptions!$C$32)</f>
        <v>0</v>
      </c>
      <c r="O13" s="62" t="n">
        <f aca="false">0.25*MAX(0,SUM(E12:O12)-Assumptions!$C$32)</f>
        <v>0</v>
      </c>
      <c r="P13" s="62" t="n">
        <f aca="false">0.25*MAX(0,SUM(E12:P12)-Assumptions!$C$32)</f>
        <v>0</v>
      </c>
      <c r="Q13" s="62" t="n">
        <f aca="false">0.25*MAX(0,SUM(Q12:Q12)-Assumptions!$C$32)</f>
        <v>0</v>
      </c>
      <c r="R13" s="62" t="n">
        <f aca="false">0.25*MAX(0,SUM(Q12:R12)-Assumptions!$C$32)</f>
        <v>0</v>
      </c>
      <c r="S13" s="62" t="n">
        <f aca="false">0.25*MAX(0,SUM(Q12:S12)-Assumptions!$C$32)</f>
        <v>0</v>
      </c>
      <c r="T13" s="62" t="n">
        <f aca="false">0.25*MAX(0,SUM(Q12:T12)-Assumptions!$C$32)</f>
        <v>0</v>
      </c>
      <c r="U13" s="62" t="n">
        <f aca="false">0.25*MAX(0,SUM(Q12:U12)-Assumptions!$C$32)</f>
        <v>0</v>
      </c>
      <c r="V13" s="62" t="n">
        <f aca="false">0.25*MAX(0,SUM(Q12:V12)-Assumptions!$C$32)</f>
        <v>0</v>
      </c>
      <c r="W13" s="62" t="n">
        <f aca="false">0.25*MAX(0,SUM(Q12:W12)-Assumptions!$C$32)</f>
        <v>0</v>
      </c>
      <c r="X13" s="62" t="n">
        <f aca="false">0.25*MAX(0,SUM(Q12:X12)-Assumptions!$C$32)</f>
        <v>0</v>
      </c>
      <c r="Y13" s="62" t="n">
        <f aca="false">0.25*MAX(0,SUM(Q12:Y12)-Assumptions!$C$32)</f>
        <v>0</v>
      </c>
      <c r="Z13" s="62" t="n">
        <f aca="false">0.25*MAX(0,SUM(Q12:Z12)-Assumptions!$C$32)</f>
        <v>0</v>
      </c>
      <c r="AA13" s="62" t="n">
        <f aca="false">0.25*MAX(0,SUM(Q12:AA12)-Assumptions!$C$32)</f>
        <v>0</v>
      </c>
      <c r="AB13" s="62" t="n">
        <f aca="false">0.25*MAX(0,SUM(Q12:AB12)-Assumptions!$C$32)</f>
        <v>0</v>
      </c>
    </row>
    <row r="14" customFormat="false" ht="15" hidden="false" customHeight="false" outlineLevel="0" collapsed="false">
      <c r="A14" s="23" t="s">
        <v>1446</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row>
    <row r="15" customFormat="false" ht="15" hidden="false" customHeight="false" outlineLevel="0" collapsed="false">
      <c r="A15" s="29" t="s">
        <v>1447</v>
      </c>
      <c r="B15" s="60" t="s">
        <v>1448</v>
      </c>
      <c r="C15" s="61" t="n">
        <f aca="false">P15</f>
        <v>126645.179090454</v>
      </c>
      <c r="D15" s="61" t="n">
        <f aca="false">AB15</f>
        <v>135804.34176628</v>
      </c>
      <c r="E15" s="62" t="n">
        <f aca="false">MAX(0,SUM(E11:E11))*Assumptions!$C$30</f>
        <v>0</v>
      </c>
      <c r="F15" s="62" t="n">
        <f aca="false">MAX(0,SUM(E11:F11))*Assumptions!$C$30</f>
        <v>0</v>
      </c>
      <c r="G15" s="62" t="n">
        <f aca="false">MAX(0,SUM(E11:G11))*Assumptions!$C$30</f>
        <v>9599.67238935322</v>
      </c>
      <c r="H15" s="62" t="n">
        <f aca="false">MAX(0,SUM(E11:H11))*Assumptions!$C$30</f>
        <v>14712.6951856887</v>
      </c>
      <c r="I15" s="62" t="n">
        <f aca="false">MAX(0,SUM(E11:I11))*Assumptions!$C$30</f>
        <v>17752.5771179519</v>
      </c>
      <c r="J15" s="62" t="n">
        <f aca="false">MAX(0,SUM(E11:J11))*Assumptions!$C$30</f>
        <v>41737.7392248949</v>
      </c>
      <c r="K15" s="62" t="n">
        <f aca="false">MAX(0,SUM(E11:K11))*Assumptions!$C$30</f>
        <v>32044.7842848124</v>
      </c>
      <c r="L15" s="62" t="n">
        <f aca="false">MAX(0,SUM(E11:L11))*Assumptions!$C$30</f>
        <v>28215.1192899815</v>
      </c>
      <c r="M15" s="62" t="n">
        <f aca="false">MAX(0,SUM(E11:M11))*Assumptions!$C$30</f>
        <v>55656.1763926253</v>
      </c>
      <c r="N15" s="62" t="n">
        <f aca="false">MAX(0,SUM(E11:N11))*Assumptions!$C$30</f>
        <v>73095.9455367463</v>
      </c>
      <c r="O15" s="62" t="n">
        <f aca="false">MAX(0,SUM(E11:O11))*Assumptions!$C$30</f>
        <v>96822.8300415066</v>
      </c>
      <c r="P15" s="62" t="n">
        <f aca="false">MAX(0,SUM(E11:P11))*Assumptions!$C$30</f>
        <v>126645.179090454</v>
      </c>
      <c r="Q15" s="62" t="n">
        <f aca="false">MAX(0,SUM(Q11:Q11))*Assumptions!$C$30</f>
        <v>9375.95072301519</v>
      </c>
      <c r="R15" s="62" t="n">
        <f aca="false">MAX(0,SUM(Q11:R11))*Assumptions!$C$30</f>
        <v>27608.6774062597</v>
      </c>
      <c r="S15" s="62" t="n">
        <f aca="false">MAX(0,SUM(Q11:S11))*Assumptions!$C$30</f>
        <v>47244.7200260208</v>
      </c>
      <c r="T15" s="62" t="n">
        <f aca="false">MAX(0,SUM(Q11:T11))*Assumptions!$C$30</f>
        <v>62933.5876894042</v>
      </c>
      <c r="U15" s="62" t="n">
        <f aca="false">MAX(0,SUM(Q11:U11))*Assumptions!$C$30</f>
        <v>54828.8696181735</v>
      </c>
      <c r="V15" s="62" t="n">
        <f aca="false">MAX(0,SUM(Q11:V11))*Assumptions!$C$30</f>
        <v>73366.2137248013</v>
      </c>
      <c r="W15" s="62" t="n">
        <f aca="false">MAX(0,SUM(Q11:W11))*Assumptions!$C$30</f>
        <v>86481.3561732624</v>
      </c>
      <c r="X15" s="62" t="n">
        <f aca="false">MAX(0,SUM(Q11:X11))*Assumptions!$C$30</f>
        <v>85494.7225169986</v>
      </c>
      <c r="Y15" s="62" t="n">
        <f aca="false">MAX(0,SUM(Q11:Y11))*Assumptions!$C$30</f>
        <v>101393.163170412</v>
      </c>
      <c r="Z15" s="62" t="n">
        <f aca="false">MAX(0,SUM(Q11:Z11))*Assumptions!$C$30</f>
        <v>107550.643382823</v>
      </c>
      <c r="AA15" s="62" t="n">
        <f aca="false">MAX(0,SUM(Q11:AA11))*Assumptions!$C$30</f>
        <v>117604.248707244</v>
      </c>
      <c r="AB15" s="62" t="n">
        <f aca="false">MAX(0,SUM(Q11:AB11))*Assumptions!$C$30</f>
        <v>135804.34176628</v>
      </c>
    </row>
    <row r="16" customFormat="false" ht="15" hidden="false" customHeight="false" outlineLevel="0" collapsed="false">
      <c r="A16" s="68" t="s">
        <v>1449</v>
      </c>
      <c r="B16" s="69" t="s">
        <v>1450</v>
      </c>
      <c r="C16" s="70" t="n">
        <f aca="false">SUM(E16:P16)</f>
        <v>126645.179090454</v>
      </c>
      <c r="D16" s="70" t="n">
        <f aca="false">SUM(Q16:AB16)</f>
        <v>135804.34176628</v>
      </c>
      <c r="E16" s="70" t="n">
        <f aca="false">E15</f>
        <v>0</v>
      </c>
      <c r="F16" s="70" t="n">
        <f aca="false">F15-E15</f>
        <v>0</v>
      </c>
      <c r="G16" s="70" t="n">
        <f aca="false">G15-F15</f>
        <v>9599.67238935322</v>
      </c>
      <c r="H16" s="70" t="n">
        <f aca="false">H15-G15</f>
        <v>5113.02279633549</v>
      </c>
      <c r="I16" s="70" t="n">
        <f aca="false">I15-H15</f>
        <v>3039.88193226315</v>
      </c>
      <c r="J16" s="70" t="n">
        <f aca="false">J15-I15</f>
        <v>23985.162106943</v>
      </c>
      <c r="K16" s="70" t="n">
        <f aca="false">K15-J15</f>
        <v>-9692.95494008242</v>
      </c>
      <c r="L16" s="70" t="n">
        <f aca="false">L15-K15</f>
        <v>-3829.66499483098</v>
      </c>
      <c r="M16" s="70" t="n">
        <f aca="false">M15-L15</f>
        <v>27441.0571026438</v>
      </c>
      <c r="N16" s="70" t="n">
        <f aca="false">N15-M15</f>
        <v>17439.769144121</v>
      </c>
      <c r="O16" s="70" t="n">
        <f aca="false">O15-N15</f>
        <v>23726.8845047603</v>
      </c>
      <c r="P16" s="70" t="n">
        <f aca="false">P15-O15</f>
        <v>29822.349048947</v>
      </c>
      <c r="Q16" s="70" t="n">
        <f aca="false">Q15</f>
        <v>9375.95072301519</v>
      </c>
      <c r="R16" s="70" t="n">
        <f aca="false">R15-Q15</f>
        <v>18232.7266832445</v>
      </c>
      <c r="S16" s="70" t="n">
        <f aca="false">S15-R15</f>
        <v>19636.0426197611</v>
      </c>
      <c r="T16" s="70" t="n">
        <f aca="false">T15-S15</f>
        <v>15688.8676633834</v>
      </c>
      <c r="U16" s="70" t="n">
        <f aca="false">U15-T15</f>
        <v>-8104.71807123064</v>
      </c>
      <c r="V16" s="70" t="n">
        <f aca="false">V15-U15</f>
        <v>18537.3441066277</v>
      </c>
      <c r="W16" s="70" t="n">
        <f aca="false">W15-V15</f>
        <v>13115.1424484611</v>
      </c>
      <c r="X16" s="70" t="n">
        <f aca="false">X15-W15</f>
        <v>-986.633656263861</v>
      </c>
      <c r="Y16" s="70" t="n">
        <f aca="false">Y15-X15</f>
        <v>15898.440653413</v>
      </c>
      <c r="Z16" s="70" t="n">
        <f aca="false">Z15-Y15</f>
        <v>6157.48021241189</v>
      </c>
      <c r="AA16" s="70" t="n">
        <f aca="false">AA15-Z15</f>
        <v>10053.6053244209</v>
      </c>
      <c r="AB16" s="70" t="n">
        <f aca="false">AB15-AA15</f>
        <v>18200.0930590358</v>
      </c>
    </row>
    <row r="17" customFormat="false" ht="15" hidden="false" customHeight="false" outlineLevel="0" collapsed="false">
      <c r="A17" s="29" t="s">
        <v>1451</v>
      </c>
      <c r="B17" s="60" t="s">
        <v>1452</v>
      </c>
      <c r="C17" s="61" t="n">
        <f aca="false">SUM(E17:P17)</f>
        <v>155150</v>
      </c>
      <c r="D17" s="61" t="n">
        <f aca="false">SUM(Q17:AB17)</f>
        <v>126645.179090454</v>
      </c>
      <c r="E17" s="62" t="n">
        <f aca="false">IF(E$5="A",Inputs_Actuals!E192,Assumptions!E$204*IF(Assumptions!E$186&gt;=Assumptions!$C$39,Assumptions!$C$35/4,Assumptions!$C$37))</f>
        <v>0</v>
      </c>
      <c r="F17" s="62" t="n">
        <f aca="false">IF(F$5="A",Inputs_Actuals!F192,Assumptions!F$204*IF(Assumptions!F$186&gt;=Assumptions!$C$39,Assumptions!$C$35/4,Assumptions!$C$37))</f>
        <v>0</v>
      </c>
      <c r="G17" s="62" t="n">
        <f aca="false">IF(G$5="A",Inputs_Actuals!G192,Assumptions!G$204*IF(Assumptions!G$186&gt;=Assumptions!$C$39,Assumptions!$C$35/4,Assumptions!$C$37))</f>
        <v>36000</v>
      </c>
      <c r="H17" s="62" t="n">
        <f aca="false">IF(H$5="A",Inputs_Actuals!H192,Assumptions!H$204*IF(Assumptions!H$186&gt;=Assumptions!$C$39,Assumptions!$C$35/4,Assumptions!$C$37))</f>
        <v>0</v>
      </c>
      <c r="I17" s="62" t="n">
        <f aca="false">IF(I$5="A",Inputs_Actuals!I192,Assumptions!I$204*IF(Assumptions!I$186&gt;=Assumptions!$C$39,Assumptions!$C$35/4,Assumptions!$C$37))</f>
        <v>0</v>
      </c>
      <c r="J17" s="62" t="n">
        <f aca="false">IF(J$5="A",Inputs_Actuals!J192,Assumptions!J$204*IF(Assumptions!J$186&gt;=Assumptions!$C$39,Assumptions!$C$35/4,Assumptions!$C$37))</f>
        <v>36000</v>
      </c>
      <c r="K17" s="62" t="n">
        <f aca="false">IF(K$5="A",Inputs_Actuals!K192,Assumptions!K$204*IF(Assumptions!K$186&gt;=Assumptions!$C$39,Assumptions!$C$35/4,Assumptions!$C$37))</f>
        <v>0</v>
      </c>
      <c r="L17" s="62" t="n">
        <f aca="false">IF(L$5="A",Inputs_Actuals!L192,Assumptions!L$204*IF(Assumptions!L$186&gt;=Assumptions!$C$39,Assumptions!$C$35/4,Assumptions!$C$37))</f>
        <v>0</v>
      </c>
      <c r="M17" s="62" t="n">
        <f aca="false">IF(M$5="A",Inputs_Actuals!M192,Assumptions!M$204*IF(Assumptions!M$186&gt;=Assumptions!$C$39,Assumptions!$C$35/4,Assumptions!$C$37))</f>
        <v>41575</v>
      </c>
      <c r="N17" s="62" t="n">
        <f aca="false">IF(N$5="A",Inputs_Actuals!N192,Assumptions!N$204*IF(Assumptions!N$186&gt;=Assumptions!$C$39,Assumptions!$C$35/4,Assumptions!$C$37))</f>
        <v>0</v>
      </c>
      <c r="O17" s="62" t="n">
        <f aca="false">IF(O$5="A",Inputs_Actuals!O192,Assumptions!O$204*IF(Assumptions!O$186&gt;=Assumptions!$C$39,Assumptions!$C$35/4,Assumptions!$C$37))</f>
        <v>0</v>
      </c>
      <c r="P17" s="62" t="n">
        <f aca="false">IF(P$5="A",Inputs_Actuals!P192,Assumptions!P$204*IF(Assumptions!P$186&gt;=Assumptions!$C$39,Assumptions!$C$35/4,Assumptions!$C$37))</f>
        <v>41575</v>
      </c>
      <c r="Q17" s="62" t="n">
        <f aca="false">IF(Q$5="A",Inputs_Actuals!Q192,Assumptions!Q$204*IF(Assumptions!$C$40=1,MAX(0,$C$16)/4,Assumptions!$C$35/4))</f>
        <v>0</v>
      </c>
      <c r="R17" s="62" t="n">
        <f aca="false">IF(R$5="A",Inputs_Actuals!R192,Assumptions!R$204*IF(Assumptions!$C$40=1,MAX(0,$C$16)/4,Assumptions!$C$35/4))</f>
        <v>0</v>
      </c>
      <c r="S17" s="62" t="n">
        <f aca="false">IF(S$5="A",Inputs_Actuals!S192,Assumptions!S$204*IF(Assumptions!$C$40=1,MAX(0,$C$16)/4,Assumptions!$C$35/4))</f>
        <v>31661.2947726134</v>
      </c>
      <c r="T17" s="62" t="n">
        <f aca="false">IF(T$5="A",Inputs_Actuals!T192,Assumptions!T$204*IF(Assumptions!$C$40=1,MAX(0,$C$16)/4,Assumptions!$C$35/4))</f>
        <v>0</v>
      </c>
      <c r="U17" s="62" t="n">
        <f aca="false">IF(U$5="A",Inputs_Actuals!U192,Assumptions!U$204*IF(Assumptions!$C$40=1,MAX(0,$C$16)/4,Assumptions!$C$35/4))</f>
        <v>0</v>
      </c>
      <c r="V17" s="62" t="n">
        <f aca="false">IF(V$5="A",Inputs_Actuals!V192,Assumptions!V$204*IF(Assumptions!$C$40=1,MAX(0,$C$16)/4,Assumptions!$C$35/4))</f>
        <v>31661.2947726134</v>
      </c>
      <c r="W17" s="62" t="n">
        <f aca="false">IF(W$5="A",Inputs_Actuals!W192,Assumptions!W$204*IF(Assumptions!$C$40=1,MAX(0,$C$16)/4,Assumptions!$C$35/4))</f>
        <v>0</v>
      </c>
      <c r="X17" s="62" t="n">
        <f aca="false">IF(X$5="A",Inputs_Actuals!X192,Assumptions!X$204*IF(Assumptions!$C$40=1,MAX(0,$C$16)/4,Assumptions!$C$35/4))</f>
        <v>0</v>
      </c>
      <c r="Y17" s="62" t="n">
        <f aca="false">IF(Y$5="A",Inputs_Actuals!Y192,Assumptions!Y$204*IF(Assumptions!$C$40=1,MAX(0,$C$16)/4,Assumptions!$C$35/4))</f>
        <v>31661.2947726134</v>
      </c>
      <c r="Z17" s="62" t="n">
        <f aca="false">IF(Z$5="A",Inputs_Actuals!Z192,Assumptions!Z$204*IF(Assumptions!$C$40=1,MAX(0,$C$16)/4,Assumptions!$C$35/4))</f>
        <v>0</v>
      </c>
      <c r="AA17" s="62" t="n">
        <f aca="false">IF(AA$5="A",Inputs_Actuals!AA192,Assumptions!AA$204*IF(Assumptions!$C$40=1,MAX(0,$C$16)/4,Assumptions!$C$35/4))</f>
        <v>0</v>
      </c>
      <c r="AB17" s="62" t="n">
        <f aca="false">IF(AB$5="A",Inputs_Actuals!AB192,Assumptions!AB$204*IF(Assumptions!$C$40=1,MAX(0,$C$16)/4,Assumptions!$C$35/4))</f>
        <v>31661.2947726134</v>
      </c>
    </row>
    <row r="18" customFormat="false" ht="15" hidden="false" customHeight="false" outlineLevel="0" collapsed="false">
      <c r="A18" s="29" t="s">
        <v>1453</v>
      </c>
      <c r="B18" s="60" t="s">
        <v>1454</v>
      </c>
      <c r="C18" s="61" t="n">
        <f aca="false">SUM(E18:P18)</f>
        <v>22300</v>
      </c>
      <c r="D18" s="61" t="n">
        <f aca="false">SUM(Q18:AB18)</f>
        <v>0</v>
      </c>
      <c r="E18" s="62" t="n">
        <f aca="false">IF(E$5="A",Inputs_Actuals!E193,0)</f>
        <v>0</v>
      </c>
      <c r="F18" s="62" t="n">
        <f aca="false">IF(F$5="A",Inputs_Actuals!F193,0)</f>
        <v>0</v>
      </c>
      <c r="G18" s="62" t="n">
        <f aca="false">IF(G$5="A",Inputs_Actuals!G193,0)</f>
        <v>0</v>
      </c>
      <c r="H18" s="62" t="n">
        <f aca="false">IF(H$5="A",Inputs_Actuals!H193,0)</f>
        <v>0</v>
      </c>
      <c r="I18" s="62" t="n">
        <f aca="false">IF(I$5="A",Inputs_Actuals!I193,0)</f>
        <v>0</v>
      </c>
      <c r="J18" s="62" t="n">
        <f aca="false">IF(J$5="A",Inputs_Actuals!J193,0)</f>
        <v>0</v>
      </c>
      <c r="K18" s="62" t="n">
        <f aca="false">IF(K$5="A",Inputs_Actuals!K193,0)</f>
        <v>22300</v>
      </c>
      <c r="L18" s="62" t="n">
        <f aca="false">IF(L$5="A",Inputs_Actuals!L193,0)</f>
        <v>0</v>
      </c>
      <c r="M18" s="62" t="n">
        <f aca="false">IF(M$5="A",Inputs_Actuals!M193,0)</f>
        <v>0</v>
      </c>
      <c r="N18" s="62" t="n">
        <f aca="false">IF(N$5="A",Inputs_Actuals!N193,0)</f>
        <v>0</v>
      </c>
      <c r="O18" s="62" t="n">
        <f aca="false">IF(O$5="A",Inputs_Actuals!O193,0)</f>
        <v>0</v>
      </c>
      <c r="P18" s="62" t="n">
        <f aca="false">IF(P$5="A",Inputs_Actuals!P193,0)</f>
        <v>0</v>
      </c>
      <c r="Q18" s="62" t="n">
        <f aca="false">IF(Q$5="A",Inputs_Actuals!Q193,0)</f>
        <v>0</v>
      </c>
      <c r="R18" s="62" t="n">
        <f aca="false">IF(R$5="A",Inputs_Actuals!R193,0)</f>
        <v>0</v>
      </c>
      <c r="S18" s="62" t="n">
        <f aca="false">IF(S$5="A",Inputs_Actuals!S193,0)</f>
        <v>0</v>
      </c>
      <c r="T18" s="62" t="n">
        <f aca="false">IF(T$5="A",Inputs_Actuals!T193,0)</f>
        <v>0</v>
      </c>
      <c r="U18" s="62" t="n">
        <f aca="false">IF(U$5="A",Inputs_Actuals!U193,0)</f>
        <v>0</v>
      </c>
      <c r="V18" s="62" t="n">
        <f aca="false">IF(V$5="A",Inputs_Actuals!V193,0)</f>
        <v>0</v>
      </c>
      <c r="W18" s="62" t="n">
        <f aca="false">IF(W$5="A",Inputs_Actuals!W193,0)</f>
        <v>0</v>
      </c>
      <c r="X18" s="62" t="n">
        <f aca="false">IF(X$5="A",Inputs_Actuals!X193,0)</f>
        <v>0</v>
      </c>
      <c r="Y18" s="62" t="n">
        <f aca="false">IF(Y$5="A",Inputs_Actuals!Y193,0)</f>
        <v>0</v>
      </c>
      <c r="Z18" s="62" t="n">
        <f aca="false">IF(Z$5="A",Inputs_Actuals!Z193,0)</f>
        <v>0</v>
      </c>
      <c r="AA18" s="62" t="n">
        <f aca="false">IF(AA$5="A",Inputs_Actuals!AA193,0)</f>
        <v>0</v>
      </c>
      <c r="AB18" s="62" t="n">
        <f aca="false">IF(AB$5="A",Inputs_Actuals!AB193,0)</f>
        <v>0</v>
      </c>
    </row>
    <row r="19" customFormat="false" ht="15" hidden="false" customHeight="false" outlineLevel="0" collapsed="false">
      <c r="A19" s="68" t="s">
        <v>1455</v>
      </c>
      <c r="B19" s="69" t="s">
        <v>1456</v>
      </c>
      <c r="C19" s="70" t="n">
        <f aca="false">P19</f>
        <v>-28504.8209095465</v>
      </c>
      <c r="D19" s="70" t="n">
        <f aca="false">AB19</f>
        <v>-19345.6582337199</v>
      </c>
      <c r="E19" s="74" t="n">
        <f aca="false">Inputs_Actuals!$C$213+E16-E17-E18</f>
        <v>22300</v>
      </c>
      <c r="F19" s="70" t="n">
        <f aca="false">E19+F16-F17-F18</f>
        <v>22300</v>
      </c>
      <c r="G19" s="70" t="n">
        <f aca="false">F19+G16-G17-G18</f>
        <v>-4100.32761064678</v>
      </c>
      <c r="H19" s="70" t="n">
        <f aca="false">G19+H16-H17-H18</f>
        <v>1012.69518568871</v>
      </c>
      <c r="I19" s="70" t="n">
        <f aca="false">H19+I16-I17-I18</f>
        <v>4052.57711795185</v>
      </c>
      <c r="J19" s="70" t="n">
        <f aca="false">I19+J16-J17-J18</f>
        <v>-7962.26077510515</v>
      </c>
      <c r="K19" s="70" t="n">
        <f aca="false">J19+K16-K17-K18</f>
        <v>-39955.2157151876</v>
      </c>
      <c r="L19" s="70" t="n">
        <f aca="false">K19+L16-L17-L18</f>
        <v>-43784.8807100186</v>
      </c>
      <c r="M19" s="70" t="n">
        <f aca="false">L19+M16-M17-M18</f>
        <v>-57918.8236073747</v>
      </c>
      <c r="N19" s="70" t="n">
        <f aca="false">M19+N16-N17-N18</f>
        <v>-40479.0544632538</v>
      </c>
      <c r="O19" s="70" t="n">
        <f aca="false">N19+O16-O17-O18</f>
        <v>-16752.1699584935</v>
      </c>
      <c r="P19" s="70" t="n">
        <f aca="false">O19+P16-P17-P18</f>
        <v>-28504.8209095465</v>
      </c>
      <c r="Q19" s="70" t="n">
        <f aca="false">P19+Q16-Q17-Q18</f>
        <v>-19128.8701865313</v>
      </c>
      <c r="R19" s="70" t="n">
        <f aca="false">Q19+R16-R17-R18</f>
        <v>-896.14350328677</v>
      </c>
      <c r="S19" s="70" t="n">
        <f aca="false">R19+S16-S17-S18</f>
        <v>-12921.3956561391</v>
      </c>
      <c r="T19" s="70" t="n">
        <f aca="false">S19+T16-T17-T18</f>
        <v>2767.47200724431</v>
      </c>
      <c r="U19" s="70" t="n">
        <f aca="false">T19+U16-U17-U18</f>
        <v>-5337.24606398634</v>
      </c>
      <c r="V19" s="70" t="n">
        <f aca="false">U19+V16-V17-V18</f>
        <v>-18461.196729972</v>
      </c>
      <c r="W19" s="70" t="n">
        <f aca="false">V19+W16-W17-W18</f>
        <v>-5346.05428151084</v>
      </c>
      <c r="X19" s="70" t="n">
        <f aca="false">W19+X16-X17-X18</f>
        <v>-6332.6879377747</v>
      </c>
      <c r="Y19" s="70" t="n">
        <f aca="false">X19+Y16-Y17-Y18</f>
        <v>-22095.542056975</v>
      </c>
      <c r="Z19" s="70" t="n">
        <f aca="false">Y19+Z16-Z17-Z18</f>
        <v>-15938.0618445631</v>
      </c>
      <c r="AA19" s="70" t="n">
        <f aca="false">Z19+AA16-AA17-AA18</f>
        <v>-5884.45652014227</v>
      </c>
      <c r="AB19" s="70" t="n">
        <f aca="false">AA19+AB16-AB17-AB18</f>
        <v>-19345.6582337199</v>
      </c>
    </row>
    <row r="20" customFormat="false" ht="15" hidden="false" customHeight="false" outlineLevel="0" collapsed="false">
      <c r="A20" s="23" t="s">
        <v>1457</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row>
    <row r="21" customFormat="false" ht="15" hidden="false" customHeight="false" outlineLevel="0" collapsed="false">
      <c r="A21" s="29" t="s">
        <v>1458</v>
      </c>
      <c r="B21" s="60" t="s">
        <v>1459</v>
      </c>
      <c r="C21" s="61" t="n">
        <f aca="false">P21</f>
        <v>137248.961857901</v>
      </c>
      <c r="D21" s="61" t="n">
        <f aca="false">AB21</f>
        <v>147175.005452872</v>
      </c>
      <c r="E21" s="62" t="n">
        <f aca="false">MAX(0,SUM(E11:E11)+E13)*Assumptions!$C$31</f>
        <v>0</v>
      </c>
      <c r="F21" s="62" t="n">
        <f aca="false">MAX(0,SUM(E11:F11)+F13)*Assumptions!$C$31</f>
        <v>0</v>
      </c>
      <c r="G21" s="62" t="n">
        <f aca="false">MAX(0,SUM(E11:G11)+G13)*Assumptions!$C$31</f>
        <v>10403.4364282722</v>
      </c>
      <c r="H21" s="62" t="n">
        <f aca="false">MAX(0,SUM(E11:H11)+H13)*Assumptions!$C$31</f>
        <v>15944.5638189296</v>
      </c>
      <c r="I21" s="62" t="n">
        <f aca="false">MAX(0,SUM(E11:I11)+I13)*Assumptions!$C$31</f>
        <v>19238.9698308294</v>
      </c>
      <c r="J21" s="62" t="n">
        <f aca="false">MAX(0,SUM(E11:J11)+J13)*Assumptions!$C$31</f>
        <v>45232.3682595227</v>
      </c>
      <c r="K21" s="62" t="n">
        <f aca="false">MAX(0,SUM(E11:K11)+K13)*Assumptions!$C$31</f>
        <v>34727.8388931775</v>
      </c>
      <c r="L21" s="62" t="n">
        <f aca="false">MAX(0,SUM(E11:L11)+L13)*Assumptions!$C$31</f>
        <v>30577.5226428551</v>
      </c>
      <c r="M21" s="62" t="n">
        <f aca="false">MAX(0,SUM(E11:M11)+M13)*Assumptions!$C$31</f>
        <v>60316.1722043301</v>
      </c>
      <c r="N21" s="62" t="n">
        <f aca="false">MAX(0,SUM(E11:N11)+N13)*Assumptions!$C$31</f>
        <v>79216.1431883222</v>
      </c>
      <c r="O21" s="62" t="n">
        <f aca="false">MAX(0,SUM(E11:O11)+O13)*Assumptions!$C$31</f>
        <v>104929.638875946</v>
      </c>
      <c r="P21" s="62" t="n">
        <f aca="false">MAX(0,SUM(E11:P11)+P13)*Assumptions!$C$31</f>
        <v>137248.961857901</v>
      </c>
      <c r="Q21" s="62" t="n">
        <f aca="false">MAX(0,SUM(Q11:Q11)+Q13)*Assumptions!$C$31</f>
        <v>10160.9829320512</v>
      </c>
      <c r="R21" s="62" t="n">
        <f aca="false">MAX(0,SUM(Q11:R11)+R13)*Assumptions!$C$31</f>
        <v>29920.3044244774</v>
      </c>
      <c r="S21" s="62" t="n">
        <f aca="false">MAX(0,SUM(Q11:S11)+S13)*Assumptions!$C$31</f>
        <v>51200.4390803322</v>
      </c>
      <c r="T21" s="62" t="n">
        <f aca="false">MAX(0,SUM(Q11:T11)+T13)*Assumptions!$C$31</f>
        <v>68202.908617585</v>
      </c>
      <c r="U21" s="62" t="n">
        <f aca="false">MAX(0,SUM(Q11:U11)+U13)*Assumptions!$C$31</f>
        <v>59419.5964582418</v>
      </c>
      <c r="V21" s="62" t="n">
        <f aca="false">MAX(0,SUM(Q11:V11)+V13)*Assumptions!$C$31</f>
        <v>79509.0404663724</v>
      </c>
      <c r="W21" s="62" t="n">
        <f aca="false">MAX(0,SUM(Q11:W11)+W13)*Assumptions!$C$31</f>
        <v>93722.2912083066</v>
      </c>
      <c r="X21" s="62" t="n">
        <f aca="false">MAX(0,SUM(Q11:X11)+X13)*Assumptions!$C$31</f>
        <v>92653.0484149463</v>
      </c>
      <c r="Y21" s="62" t="n">
        <f aca="false">MAX(0,SUM(Q11:Y11)+Y13)*Assumptions!$C$31</f>
        <v>109882.638127808</v>
      </c>
      <c r="Z21" s="62" t="n">
        <f aca="false">MAX(0,SUM(Q11:Z11)+Z13)*Assumptions!$C$31</f>
        <v>116555.673555477</v>
      </c>
      <c r="AA21" s="62" t="n">
        <f aca="false">MAX(0,SUM(Q11:AA11)+AA13)*Assumptions!$C$31</f>
        <v>127451.049941816</v>
      </c>
      <c r="AB21" s="62" t="n">
        <f aca="false">MAX(0,SUM(Q11:AB11)+AB13)*Assumptions!$C$31</f>
        <v>147175.005452872</v>
      </c>
    </row>
    <row r="22" customFormat="false" ht="15" hidden="false" customHeight="false" outlineLevel="0" collapsed="false">
      <c r="A22" s="68" t="s">
        <v>1449</v>
      </c>
      <c r="B22" s="69" t="s">
        <v>1450</v>
      </c>
      <c r="C22" s="70" t="n">
        <f aca="false">SUM(E22:P22)</f>
        <v>137248.961857901</v>
      </c>
      <c r="D22" s="70" t="n">
        <f aca="false">SUM(Q22:AB22)</f>
        <v>147175.005452872</v>
      </c>
      <c r="E22" s="70" t="n">
        <f aca="false">E21</f>
        <v>0</v>
      </c>
      <c r="F22" s="70" t="n">
        <f aca="false">F21-E21</f>
        <v>0</v>
      </c>
      <c r="G22" s="70" t="n">
        <f aca="false">G21-F21</f>
        <v>10403.4364282722</v>
      </c>
      <c r="H22" s="70" t="n">
        <f aca="false">H21-G21</f>
        <v>5541.12739065742</v>
      </c>
      <c r="I22" s="70" t="n">
        <f aca="false">I21-H21</f>
        <v>3294.40601189972</v>
      </c>
      <c r="J22" s="70" t="n">
        <f aca="false">J21-I21</f>
        <v>25993.3984286934</v>
      </c>
      <c r="K22" s="70" t="n">
        <f aca="false">K21-J21</f>
        <v>-10504.5293663452</v>
      </c>
      <c r="L22" s="70" t="n">
        <f aca="false">L21-K21</f>
        <v>-4150.31625032236</v>
      </c>
      <c r="M22" s="70" t="n">
        <f aca="false">M21-L21</f>
        <v>29738.649561475</v>
      </c>
      <c r="N22" s="70" t="n">
        <f aca="false">N21-M21</f>
        <v>18899.9709839921</v>
      </c>
      <c r="O22" s="70" t="n">
        <f aca="false">O21-N21</f>
        <v>25713.4956876233</v>
      </c>
      <c r="P22" s="70" t="n">
        <f aca="false">P21-O21</f>
        <v>32319.3229819552</v>
      </c>
      <c r="Q22" s="70" t="n">
        <f aca="false">Q21</f>
        <v>10160.9829320512</v>
      </c>
      <c r="R22" s="70" t="n">
        <f aca="false">R21-Q21</f>
        <v>19759.3214924262</v>
      </c>
      <c r="S22" s="70" t="n">
        <f aca="false">S21-R21</f>
        <v>21280.1346558548</v>
      </c>
      <c r="T22" s="70" t="n">
        <f aca="false">T21-S21</f>
        <v>17002.4695372528</v>
      </c>
      <c r="U22" s="70" t="n">
        <f aca="false">U21-T21</f>
        <v>-8783.31215934317</v>
      </c>
      <c r="V22" s="70" t="n">
        <f aca="false">V21-U21</f>
        <v>20089.4440081306</v>
      </c>
      <c r="W22" s="70" t="n">
        <f aca="false">W21-V21</f>
        <v>14213.2507419342</v>
      </c>
      <c r="X22" s="70" t="n">
        <f aca="false">X21-W21</f>
        <v>-1069.2427933602</v>
      </c>
      <c r="Y22" s="70" t="n">
        <f aca="false">Y21-X21</f>
        <v>17229.5897128615</v>
      </c>
      <c r="Z22" s="70" t="n">
        <f aca="false">Z21-Y21</f>
        <v>6673.03542766912</v>
      </c>
      <c r="AA22" s="70" t="n">
        <f aca="false">AA21-Z21</f>
        <v>10895.3763863392</v>
      </c>
      <c r="AB22" s="70" t="n">
        <f aca="false">AB21-AA21</f>
        <v>19723.9555110561</v>
      </c>
    </row>
    <row r="23" customFormat="false" ht="15" hidden="false" customHeight="false" outlineLevel="0" collapsed="false">
      <c r="A23" s="29" t="s">
        <v>1460</v>
      </c>
      <c r="B23" s="60" t="s">
        <v>1461</v>
      </c>
      <c r="C23" s="61" t="n">
        <f aca="false">SUM(E23:P23)</f>
        <v>166050</v>
      </c>
      <c r="D23" s="61" t="n">
        <f aca="false">SUM(Q23:AB23)</f>
        <v>137248.961857901</v>
      </c>
      <c r="E23" s="62" t="n">
        <f aca="false">IF(E$5="A",Inputs_Actuals!E194,Assumptions!E$205*IF(Assumptions!E$186&gt;=Assumptions!$C$39,Assumptions!$C$36/4,Assumptions!$C$38))</f>
        <v>0</v>
      </c>
      <c r="F23" s="62" t="n">
        <f aca="false">IF(F$5="A",Inputs_Actuals!F194,Assumptions!F$205*IF(Assumptions!F$186&gt;=Assumptions!$C$39,Assumptions!$C$36/4,Assumptions!$C$38))</f>
        <v>38000</v>
      </c>
      <c r="G23" s="62" t="n">
        <f aca="false">IF(G$5="A",Inputs_Actuals!G194,Assumptions!G$205*IF(Assumptions!G$186&gt;=Assumptions!$C$39,Assumptions!$C$36/4,Assumptions!$C$38))</f>
        <v>0</v>
      </c>
      <c r="H23" s="62" t="n">
        <f aca="false">IF(H$5="A",Inputs_Actuals!H194,Assumptions!H$205*IF(Assumptions!H$186&gt;=Assumptions!$C$39,Assumptions!$C$36/4,Assumptions!$C$38))</f>
        <v>0</v>
      </c>
      <c r="I23" s="62" t="n">
        <f aca="false">IF(I$5="A",Inputs_Actuals!I194,Assumptions!I$205*IF(Assumptions!I$186&gt;=Assumptions!$C$39,Assumptions!$C$36/4,Assumptions!$C$38))</f>
        <v>38000</v>
      </c>
      <c r="J23" s="62" t="n">
        <f aca="false">IF(J$5="A",Inputs_Actuals!J194,Assumptions!J$205*IF(Assumptions!J$186&gt;=Assumptions!$C$39,Assumptions!$C$36/4,Assumptions!$C$38))</f>
        <v>0</v>
      </c>
      <c r="K23" s="62" t="n">
        <f aca="false">IF(K$5="A",Inputs_Actuals!K194,Assumptions!K$205*IF(Assumptions!K$186&gt;=Assumptions!$C$39,Assumptions!$C$36/4,Assumptions!$C$38))</f>
        <v>0</v>
      </c>
      <c r="L23" s="62" t="n">
        <f aca="false">IF(L$5="A",Inputs_Actuals!L194,Assumptions!L$205*IF(Assumptions!L$186&gt;=Assumptions!$C$39,Assumptions!$C$36/4,Assumptions!$C$38))</f>
        <v>45025</v>
      </c>
      <c r="M23" s="62" t="n">
        <f aca="false">IF(M$5="A",Inputs_Actuals!M194,Assumptions!M$205*IF(Assumptions!M$186&gt;=Assumptions!$C$39,Assumptions!$C$36/4,Assumptions!$C$38))</f>
        <v>0</v>
      </c>
      <c r="N23" s="62" t="n">
        <f aca="false">IF(N$5="A",Inputs_Actuals!N194,Assumptions!N$205*IF(Assumptions!N$186&gt;=Assumptions!$C$39,Assumptions!$C$36/4,Assumptions!$C$38))</f>
        <v>0</v>
      </c>
      <c r="O23" s="62" t="n">
        <f aca="false">IF(O$5="A",Inputs_Actuals!O194,Assumptions!O$205*IF(Assumptions!O$186&gt;=Assumptions!$C$39,Assumptions!$C$36/4,Assumptions!$C$38))</f>
        <v>45025</v>
      </c>
      <c r="P23" s="62" t="n">
        <f aca="false">IF(P$5="A",Inputs_Actuals!P194,Assumptions!P$205*IF(Assumptions!P$186&gt;=Assumptions!$C$39,Assumptions!$C$36/4,Assumptions!$C$38))</f>
        <v>0</v>
      </c>
      <c r="Q23" s="62" t="n">
        <f aca="false">IF(Q$5="A",Inputs_Actuals!Q194,Assumptions!Q$205*IF(Assumptions!$C$40=1,MAX(0,$C$22)/4,Assumptions!$C$36/4))</f>
        <v>0</v>
      </c>
      <c r="R23" s="62" t="n">
        <f aca="false">IF(R$5="A",Inputs_Actuals!R194,Assumptions!R$205*IF(Assumptions!$C$40=1,MAX(0,$C$22)/4,Assumptions!$C$36/4))</f>
        <v>34312.2404644752</v>
      </c>
      <c r="S23" s="62" t="n">
        <f aca="false">IF(S$5="A",Inputs_Actuals!S194,Assumptions!S$205*IF(Assumptions!$C$40=1,MAX(0,$C$22)/4,Assumptions!$C$36/4))</f>
        <v>0</v>
      </c>
      <c r="T23" s="62" t="n">
        <f aca="false">IF(T$5="A",Inputs_Actuals!T194,Assumptions!T$205*IF(Assumptions!$C$40=1,MAX(0,$C$22)/4,Assumptions!$C$36/4))</f>
        <v>0</v>
      </c>
      <c r="U23" s="62" t="n">
        <f aca="false">IF(U$5="A",Inputs_Actuals!U194,Assumptions!U$205*IF(Assumptions!$C$40=1,MAX(0,$C$22)/4,Assumptions!$C$36/4))</f>
        <v>34312.2404644752</v>
      </c>
      <c r="V23" s="62" t="n">
        <f aca="false">IF(V$5="A",Inputs_Actuals!V194,Assumptions!V$205*IF(Assumptions!$C$40=1,MAX(0,$C$22)/4,Assumptions!$C$36/4))</f>
        <v>0</v>
      </c>
      <c r="W23" s="62" t="n">
        <f aca="false">IF(W$5="A",Inputs_Actuals!W194,Assumptions!W$205*IF(Assumptions!$C$40=1,MAX(0,$C$22)/4,Assumptions!$C$36/4))</f>
        <v>0</v>
      </c>
      <c r="X23" s="62" t="n">
        <f aca="false">IF(X$5="A",Inputs_Actuals!X194,Assumptions!X$205*IF(Assumptions!$C$40=1,MAX(0,$C$22)/4,Assumptions!$C$36/4))</f>
        <v>34312.2404644752</v>
      </c>
      <c r="Y23" s="62" t="n">
        <f aca="false">IF(Y$5="A",Inputs_Actuals!Y194,Assumptions!Y$205*IF(Assumptions!$C$40=1,MAX(0,$C$22)/4,Assumptions!$C$36/4))</f>
        <v>0</v>
      </c>
      <c r="Z23" s="62" t="n">
        <f aca="false">IF(Z$5="A",Inputs_Actuals!Z194,Assumptions!Z$205*IF(Assumptions!$C$40=1,MAX(0,$C$22)/4,Assumptions!$C$36/4))</f>
        <v>0</v>
      </c>
      <c r="AA23" s="62" t="n">
        <f aca="false">IF(AA$5="A",Inputs_Actuals!AA194,Assumptions!AA$205*IF(Assumptions!$C$40=1,MAX(0,$C$22)/4,Assumptions!$C$36/4))</f>
        <v>34312.2404644752</v>
      </c>
      <c r="AB23" s="62" t="n">
        <f aca="false">IF(AB$5="A",Inputs_Actuals!AB194,Assumptions!AB$205*IF(Assumptions!$C$40=1,MAX(0,$C$22)/4,Assumptions!$C$36/4))</f>
        <v>0</v>
      </c>
    </row>
    <row r="24" customFormat="false" ht="15" hidden="false" customHeight="false" outlineLevel="0" collapsed="false">
      <c r="A24" s="29" t="s">
        <v>1453</v>
      </c>
      <c r="B24" s="60" t="s">
        <v>1454</v>
      </c>
      <c r="C24" s="61" t="n">
        <f aca="false">SUM(E24:P24)</f>
        <v>28100</v>
      </c>
      <c r="D24" s="61" t="n">
        <f aca="false">SUM(Q24:AB24)</f>
        <v>0</v>
      </c>
      <c r="E24" s="62" t="n">
        <f aca="false">IF(E$5="A",Inputs_Actuals!E195,0)</f>
        <v>0</v>
      </c>
      <c r="F24" s="62" t="n">
        <f aca="false">IF(F$5="A",Inputs_Actuals!F195,0)</f>
        <v>0</v>
      </c>
      <c r="G24" s="62" t="n">
        <f aca="false">IF(G$5="A",Inputs_Actuals!G195,0)</f>
        <v>0</v>
      </c>
      <c r="H24" s="62" t="n">
        <f aca="false">IF(H$5="A",Inputs_Actuals!H195,0)</f>
        <v>0</v>
      </c>
      <c r="I24" s="62" t="n">
        <f aca="false">IF(I$5="A",Inputs_Actuals!I195,0)</f>
        <v>0</v>
      </c>
      <c r="J24" s="62" t="n">
        <f aca="false">IF(J$5="A",Inputs_Actuals!J195,0)</f>
        <v>0</v>
      </c>
      <c r="K24" s="62" t="n">
        <f aca="false">IF(K$5="A",Inputs_Actuals!K195,0)</f>
        <v>28100</v>
      </c>
      <c r="L24" s="62" t="n">
        <f aca="false">IF(L$5="A",Inputs_Actuals!L195,0)</f>
        <v>0</v>
      </c>
      <c r="M24" s="62" t="n">
        <f aca="false">IF(M$5="A",Inputs_Actuals!M195,0)</f>
        <v>0</v>
      </c>
      <c r="N24" s="62" t="n">
        <f aca="false">IF(N$5="A",Inputs_Actuals!N195,0)</f>
        <v>0</v>
      </c>
      <c r="O24" s="62" t="n">
        <f aca="false">IF(O$5="A",Inputs_Actuals!O195,0)</f>
        <v>0</v>
      </c>
      <c r="P24" s="62" t="n">
        <f aca="false">IF(P$5="A",Inputs_Actuals!P195,0)</f>
        <v>0</v>
      </c>
      <c r="Q24" s="62" t="n">
        <f aca="false">IF(Q$5="A",Inputs_Actuals!Q195,0)</f>
        <v>0</v>
      </c>
      <c r="R24" s="62" t="n">
        <f aca="false">IF(R$5="A",Inputs_Actuals!R195,0)</f>
        <v>0</v>
      </c>
      <c r="S24" s="62" t="n">
        <f aca="false">IF(S$5="A",Inputs_Actuals!S195,0)</f>
        <v>0</v>
      </c>
      <c r="T24" s="62" t="n">
        <f aca="false">IF(T$5="A",Inputs_Actuals!T195,0)</f>
        <v>0</v>
      </c>
      <c r="U24" s="62" t="n">
        <f aca="false">IF(U$5="A",Inputs_Actuals!U195,0)</f>
        <v>0</v>
      </c>
      <c r="V24" s="62" t="n">
        <f aca="false">IF(V$5="A",Inputs_Actuals!V195,0)</f>
        <v>0</v>
      </c>
      <c r="W24" s="62" t="n">
        <f aca="false">IF(W$5="A",Inputs_Actuals!W195,0)</f>
        <v>0</v>
      </c>
      <c r="X24" s="62" t="n">
        <f aca="false">IF(X$5="A",Inputs_Actuals!X195,0)</f>
        <v>0</v>
      </c>
      <c r="Y24" s="62" t="n">
        <f aca="false">IF(Y$5="A",Inputs_Actuals!Y195,0)</f>
        <v>0</v>
      </c>
      <c r="Z24" s="62" t="n">
        <f aca="false">IF(Z$5="A",Inputs_Actuals!Z195,0)</f>
        <v>0</v>
      </c>
      <c r="AA24" s="62" t="n">
        <f aca="false">IF(AA$5="A",Inputs_Actuals!AA195,0)</f>
        <v>0</v>
      </c>
      <c r="AB24" s="62" t="n">
        <f aca="false">IF(AB$5="A",Inputs_Actuals!AB195,0)</f>
        <v>0</v>
      </c>
    </row>
    <row r="25" customFormat="false" ht="15" hidden="false" customHeight="false" outlineLevel="0" collapsed="false">
      <c r="A25" s="68" t="s">
        <v>1462</v>
      </c>
      <c r="B25" s="69" t="s">
        <v>1456</v>
      </c>
      <c r="C25" s="70" t="n">
        <f aca="false">P25</f>
        <v>-28801.0381420993</v>
      </c>
      <c r="D25" s="70" t="n">
        <f aca="false">AB25</f>
        <v>-18874.9945471277</v>
      </c>
      <c r="E25" s="74" t="n">
        <f aca="false">Inputs_Actuals!$C$214+E22-E23-E24</f>
        <v>28100</v>
      </c>
      <c r="F25" s="70" t="n">
        <f aca="false">E25+F22-F23-F24</f>
        <v>-9900</v>
      </c>
      <c r="G25" s="70" t="n">
        <f aca="false">F25+G22-G23-G24</f>
        <v>503.436428272216</v>
      </c>
      <c r="H25" s="70" t="n">
        <f aca="false">G25+H22-H23-H24</f>
        <v>6044.56381892963</v>
      </c>
      <c r="I25" s="70" t="n">
        <f aca="false">H25+I22-I23-I24</f>
        <v>-28661.0301691707</v>
      </c>
      <c r="J25" s="70" t="n">
        <f aca="false">I25+J22-J23-J24</f>
        <v>-2667.63174047729</v>
      </c>
      <c r="K25" s="70" t="n">
        <f aca="false">J25+K22-K23-K24</f>
        <v>-41272.1611068225</v>
      </c>
      <c r="L25" s="70" t="n">
        <f aca="false">K25+L22-L23-L24</f>
        <v>-90447.4773571449</v>
      </c>
      <c r="M25" s="70" t="n">
        <f aca="false">L25+M22-M23-M24</f>
        <v>-60708.8277956699</v>
      </c>
      <c r="N25" s="70" t="n">
        <f aca="false">M25+N22-N23-N24</f>
        <v>-41808.8568116778</v>
      </c>
      <c r="O25" s="70" t="n">
        <f aca="false">N25+O22-O23-O24</f>
        <v>-61120.3611240545</v>
      </c>
      <c r="P25" s="70" t="n">
        <f aca="false">O25+P22-P23-P24</f>
        <v>-28801.0381420993</v>
      </c>
      <c r="Q25" s="70" t="n">
        <f aca="false">P25+Q22-Q23-Q24</f>
        <v>-18640.0552100481</v>
      </c>
      <c r="R25" s="70" t="n">
        <f aca="false">Q25+R22-R23-R24</f>
        <v>-33192.9741820971</v>
      </c>
      <c r="S25" s="70" t="n">
        <f aca="false">R25+S22-S23-S24</f>
        <v>-11912.8395262423</v>
      </c>
      <c r="T25" s="70" t="n">
        <f aca="false">S25+T22-T23-T24</f>
        <v>5089.6300110105</v>
      </c>
      <c r="U25" s="70" t="n">
        <f aca="false">T25+U22-U23-U24</f>
        <v>-38005.9226128078</v>
      </c>
      <c r="V25" s="70" t="n">
        <f aca="false">U25+V22-V23-V24</f>
        <v>-17916.4786046773</v>
      </c>
      <c r="W25" s="70" t="n">
        <f aca="false">V25+W22-W23-W24</f>
        <v>-3703.22786274311</v>
      </c>
      <c r="X25" s="70" t="n">
        <f aca="false">W25+X22-X23-X24</f>
        <v>-39084.7111205785</v>
      </c>
      <c r="Y25" s="70" t="n">
        <f aca="false">X25+Y22-Y23-Y24</f>
        <v>-21855.121407717</v>
      </c>
      <c r="Z25" s="70" t="n">
        <f aca="false">Y25+Z22-Z23-Z24</f>
        <v>-15182.0859800478</v>
      </c>
      <c r="AA25" s="70" t="n">
        <f aca="false">Z25+AA22-AA23-AA24</f>
        <v>-38598.9500581838</v>
      </c>
      <c r="AB25" s="70" t="n">
        <f aca="false">AA25+AB22-AB23-AB24</f>
        <v>-18874.9945471277</v>
      </c>
    </row>
    <row r="26" customFormat="false" ht="15" hidden="false" customHeight="false" outlineLevel="0" collapsed="false">
      <c r="A26" s="23" t="s">
        <v>389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row>
    <row r="27" customFormat="false" ht="15" hidden="false" customHeight="false" outlineLevel="0" collapsed="false">
      <c r="A27" s="29" t="s">
        <v>1463</v>
      </c>
      <c r="B27" s="60"/>
      <c r="C27" s="61" t="n">
        <f aca="false">SUM(E27:P27)</f>
        <v>263894.140948354</v>
      </c>
      <c r="D27" s="61" t="n">
        <f aca="false">SUM(Q27:AB27)</f>
        <v>282979.347219152</v>
      </c>
      <c r="E27" s="71" t="n">
        <f aca="false">E16+E22</f>
        <v>0</v>
      </c>
      <c r="F27" s="71" t="n">
        <f aca="false">F16+F22</f>
        <v>0</v>
      </c>
      <c r="G27" s="71" t="n">
        <f aca="false">G16+G22</f>
        <v>20003.1088176254</v>
      </c>
      <c r="H27" s="71" t="n">
        <f aca="false">H16+H22</f>
        <v>10654.1501869929</v>
      </c>
      <c r="I27" s="71" t="n">
        <f aca="false">I16+I22</f>
        <v>6334.28794416286</v>
      </c>
      <c r="J27" s="71" t="n">
        <f aca="false">J16+J22</f>
        <v>49978.5605356364</v>
      </c>
      <c r="K27" s="71" t="n">
        <f aca="false">K16+K22</f>
        <v>-20197.4843064277</v>
      </c>
      <c r="L27" s="71" t="n">
        <f aca="false">L16+L22</f>
        <v>-7979.98124515333</v>
      </c>
      <c r="M27" s="71" t="n">
        <f aca="false">M16+M22</f>
        <v>57179.7066641188</v>
      </c>
      <c r="N27" s="71" t="n">
        <f aca="false">N16+N22</f>
        <v>36339.7401281131</v>
      </c>
      <c r="O27" s="71" t="n">
        <f aca="false">O16+O22</f>
        <v>49440.3801923836</v>
      </c>
      <c r="P27" s="71" t="n">
        <f aca="false">P16+P22</f>
        <v>62141.6720309021</v>
      </c>
      <c r="Q27" s="71" t="n">
        <f aca="false">Q16+Q22</f>
        <v>19536.9336550664</v>
      </c>
      <c r="R27" s="71" t="n">
        <f aca="false">R16+R22</f>
        <v>37992.0481756707</v>
      </c>
      <c r="S27" s="71" t="n">
        <f aca="false">S16+S22</f>
        <v>40916.1772756159</v>
      </c>
      <c r="T27" s="71" t="n">
        <f aca="false">T16+T22</f>
        <v>32691.3372006361</v>
      </c>
      <c r="U27" s="71" t="n">
        <f aca="false">U16+U22</f>
        <v>-16888.0302305738</v>
      </c>
      <c r="V27" s="71" t="n">
        <f aca="false">V16+V22</f>
        <v>38626.7881147583</v>
      </c>
      <c r="W27" s="71" t="n">
        <f aca="false">W16+W22</f>
        <v>27328.3931903953</v>
      </c>
      <c r="X27" s="71" t="n">
        <f aca="false">X16+X22</f>
        <v>-2055.87644962406</v>
      </c>
      <c r="Y27" s="71" t="n">
        <f aca="false">Y16+Y22</f>
        <v>33128.0303662746</v>
      </c>
      <c r="Z27" s="71" t="n">
        <f aca="false">Z16+Z22</f>
        <v>12830.515640081</v>
      </c>
      <c r="AA27" s="71" t="n">
        <f aca="false">AA16+AA22</f>
        <v>20948.9817107601</v>
      </c>
      <c r="AB27" s="71" t="n">
        <f aca="false">AB16+AB22</f>
        <v>37924.0485700919</v>
      </c>
    </row>
    <row r="28" customFormat="false" ht="15" hidden="false" customHeight="false" outlineLevel="0" collapsed="false">
      <c r="A28" s="29" t="s">
        <v>1464</v>
      </c>
      <c r="B28" s="60"/>
      <c r="C28" s="63" t="n">
        <f aca="false">IF(C9=0,0,C27/C9)</f>
        <v>0.332878356246267</v>
      </c>
      <c r="D28" s="63" t="n">
        <f aca="false">IF(D9=0,0,D27/D9)</f>
        <v>0.333205357656136</v>
      </c>
      <c r="E28" s="64" t="n">
        <f aca="false">IF(E9=0,0,E27/E9)</f>
        <v>-0</v>
      </c>
      <c r="F28" s="64" t="n">
        <f aca="false">IF(F9=0,0,F27/F9)</f>
        <v>-0</v>
      </c>
      <c r="G28" s="64" t="n">
        <f aca="false">IF(G9=0,0,G27/G9)</f>
        <v>0.175621672172454</v>
      </c>
      <c r="H28" s="64" t="n">
        <f aca="false">IF(H9=0,0,H27/H9)</f>
        <v>0.336310758585186</v>
      </c>
      <c r="I28" s="64" t="n">
        <f aca="false">IF(I9=0,0,I27/I9)</f>
        <v>0.342924744074186</v>
      </c>
      <c r="J28" s="64" t="n">
        <f aca="false">IF(J9=0,0,J27/J9)</f>
        <v>0.331271226970169</v>
      </c>
      <c r="K28" s="64" t="n">
        <f aca="false">IF(K9=0,0,K27/K9)</f>
        <v>0.327310039707208</v>
      </c>
      <c r="L28" s="64" t="n">
        <f aca="false">IF(L9=0,0,L27/L9)</f>
        <v>0.325752148377871</v>
      </c>
      <c r="M28" s="64" t="n">
        <f aca="false">IF(M9=0,0,M27/M9)</f>
        <v>0.331124887620194</v>
      </c>
      <c r="N28" s="64" t="n">
        <f aca="false">IF(N9=0,0,N27/N9)</f>
        <v>0.331918537776026</v>
      </c>
      <c r="O28" s="64" t="n">
        <f aca="false">IF(O9=0,0,O27/O9)</f>
        <v>0.331341149083183</v>
      </c>
      <c r="P28" s="64" t="n">
        <f aca="false">IF(P9=0,0,P27/P9)</f>
        <v>0.331014682835695</v>
      </c>
      <c r="Q28" s="64" t="n">
        <f aca="false">IF(Q9=0,0,Q27/Q9)</f>
        <v>0.333929778552064</v>
      </c>
      <c r="R28" s="64" t="n">
        <f aca="false">IF(R9=0,0,R27/R9)</f>
        <v>0.331886245060971</v>
      </c>
      <c r="S28" s="64" t="n">
        <f aca="false">IF(S9=0,0,S27/S9)</f>
        <v>0.331732657520239</v>
      </c>
      <c r="T28" s="64" t="n">
        <f aca="false">IF(T9=0,0,T27/T9)</f>
        <v>0.332235235393589</v>
      </c>
      <c r="U28" s="64" t="n">
        <f aca="false">IF(U9=0,0,U27/U9)</f>
        <v>0.325043297559717</v>
      </c>
      <c r="V28" s="64" t="n">
        <f aca="false">IF(V9=0,0,V27/V9)</f>
        <v>0.331850917267047</v>
      </c>
      <c r="W28" s="64" t="n">
        <f aca="false">IF(W9=0,0,W27/W9)</f>
        <v>0.332727343346393</v>
      </c>
      <c r="X28" s="64" t="n">
        <f aca="false">IF(X9=0,0,X27/X9)</f>
        <v>0.294696420364943</v>
      </c>
      <c r="Y28" s="64" t="n">
        <f aca="false">IF(Y9=0,0,Y27/Y9)</f>
        <v>0.332202231433696</v>
      </c>
      <c r="Z28" s="64" t="n">
        <f aca="false">IF(Z9=0,0,Z27/Z9)</f>
        <v>0.336156967668943</v>
      </c>
      <c r="AA28" s="64" t="n">
        <f aca="false">IF(AA9=0,0,AA27/AA9)</f>
        <v>0.333644716583175</v>
      </c>
      <c r="AB28" s="64" t="n">
        <f aca="false">IF(AB9=0,0,AB27/AB9)</f>
        <v>0.331890100308481</v>
      </c>
    </row>
    <row r="29" customFormat="false" ht="15" hidden="false" customHeight="false" outlineLevel="0" collapsed="false">
      <c r="A29" s="29" t="s">
        <v>1465</v>
      </c>
      <c r="B29" s="60"/>
      <c r="C29" s="61" t="n">
        <f aca="false">SUM(E29:P29)</f>
        <v>371600</v>
      </c>
      <c r="D29" s="61" t="n">
        <f aca="false">SUM(Q29:AB29)</f>
        <v>263894.140948354</v>
      </c>
      <c r="E29" s="71" t="n">
        <f aca="false">E17+E18+E23+E24</f>
        <v>0</v>
      </c>
      <c r="F29" s="71" t="n">
        <f aca="false">F17+F18+F23+F24</f>
        <v>38000</v>
      </c>
      <c r="G29" s="71" t="n">
        <f aca="false">G17+G18+G23+G24</f>
        <v>36000</v>
      </c>
      <c r="H29" s="71" t="n">
        <f aca="false">H17+H18+H23+H24</f>
        <v>0</v>
      </c>
      <c r="I29" s="71" t="n">
        <f aca="false">I17+I18+I23+I24</f>
        <v>38000</v>
      </c>
      <c r="J29" s="71" t="n">
        <f aca="false">J17+J18+J23+J24</f>
        <v>36000</v>
      </c>
      <c r="K29" s="71" t="n">
        <f aca="false">K17+K18+K23+K24</f>
        <v>50400</v>
      </c>
      <c r="L29" s="71" t="n">
        <f aca="false">L17+L18+L23+L24</f>
        <v>45025</v>
      </c>
      <c r="M29" s="71" t="n">
        <f aca="false">M17+M18+M23+M24</f>
        <v>41575</v>
      </c>
      <c r="N29" s="71" t="n">
        <f aca="false">N17+N18+N23+N24</f>
        <v>0</v>
      </c>
      <c r="O29" s="71" t="n">
        <f aca="false">O17+O18+O23+O24</f>
        <v>45025</v>
      </c>
      <c r="P29" s="71" t="n">
        <f aca="false">P17+P18+P23+P24</f>
        <v>41575</v>
      </c>
      <c r="Q29" s="71" t="n">
        <f aca="false">Q17+Q18+Q23+Q24</f>
        <v>0</v>
      </c>
      <c r="R29" s="71" t="n">
        <f aca="false">R17+R18+R23+R24</f>
        <v>34312.2404644752</v>
      </c>
      <c r="S29" s="71" t="n">
        <f aca="false">S17+S18+S23+S24</f>
        <v>31661.2947726134</v>
      </c>
      <c r="T29" s="71" t="n">
        <f aca="false">T17+T18+T23+T24</f>
        <v>0</v>
      </c>
      <c r="U29" s="71" t="n">
        <f aca="false">U17+U18+U23+U24</f>
        <v>34312.2404644752</v>
      </c>
      <c r="V29" s="71" t="n">
        <f aca="false">V17+V18+V23+V24</f>
        <v>31661.2947726134</v>
      </c>
      <c r="W29" s="71" t="n">
        <f aca="false">W17+W18+W23+W24</f>
        <v>0</v>
      </c>
      <c r="X29" s="71" t="n">
        <f aca="false">X17+X18+X23+X24</f>
        <v>34312.2404644752</v>
      </c>
      <c r="Y29" s="71" t="n">
        <f aca="false">Y17+Y18+Y23+Y24</f>
        <v>31661.2947726134</v>
      </c>
      <c r="Z29" s="71" t="n">
        <f aca="false">Z17+Z18+Z23+Z24</f>
        <v>0</v>
      </c>
      <c r="AA29" s="71" t="n">
        <f aca="false">AA17+AA18+AA23+AA24</f>
        <v>34312.2404644752</v>
      </c>
      <c r="AB29" s="71" t="n">
        <f aca="false">AB17+AB18+AB23+AB24</f>
        <v>31661.2947726134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1466</v>
      </c>
    </row>
    <row r="3" customFormat="false" ht="15" hidden="false" customHeight="false" outlineLevel="0" collapsed="false">
      <c r="A3" s="51" t="s">
        <v>1467</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1468</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367</v>
      </c>
      <c r="B9" s="60" t="s">
        <v>1469</v>
      </c>
      <c r="C9" s="105" t="n">
        <v>24000</v>
      </c>
      <c r="D9" s="127" t="n">
        <v>1</v>
      </c>
    </row>
    <row r="10" customFormat="false" ht="15" hidden="false" customHeight="false" outlineLevel="0" collapsed="false">
      <c r="A10" s="29" t="s">
        <v>368</v>
      </c>
      <c r="B10" s="60" t="s">
        <v>1469</v>
      </c>
      <c r="C10" s="105" t="n">
        <v>13500</v>
      </c>
      <c r="D10" s="127" t="n">
        <v>0.4</v>
      </c>
    </row>
    <row r="11" customFormat="false" ht="15" hidden="false" customHeight="false" outlineLevel="0" collapsed="false">
      <c r="A11" s="29" t="s">
        <v>369</v>
      </c>
      <c r="B11" s="60" t="s">
        <v>1469</v>
      </c>
      <c r="C11" s="105" t="n">
        <v>6300</v>
      </c>
      <c r="D11" s="127" t="n">
        <v>1</v>
      </c>
    </row>
    <row r="12" customFormat="false" ht="15" hidden="false" customHeight="false" outlineLevel="0" collapsed="false">
      <c r="A12" s="29" t="s">
        <v>370</v>
      </c>
      <c r="B12" s="60" t="s">
        <v>1469</v>
      </c>
      <c r="C12" s="105" t="n">
        <v>2500</v>
      </c>
      <c r="D12" s="127" t="n">
        <v>1</v>
      </c>
    </row>
    <row r="13" customFormat="false" ht="15" hidden="false" customHeight="false" outlineLevel="0" collapsed="false">
      <c r="A13" s="29" t="s">
        <v>1470</v>
      </c>
      <c r="B13" s="60" t="s">
        <v>1469</v>
      </c>
      <c r="C13" s="105" t="n">
        <v>8500</v>
      </c>
      <c r="D13" s="127" t="n">
        <v>0.8</v>
      </c>
    </row>
    <row r="14" customFormat="false" ht="15" hidden="false" customHeight="false" outlineLevel="0" collapsed="false">
      <c r="A14" s="29" t="s">
        <v>1471</v>
      </c>
      <c r="B14" s="60" t="s">
        <v>1469</v>
      </c>
      <c r="C14" s="105" t="n">
        <v>5500</v>
      </c>
      <c r="D14" s="127" t="n">
        <v>0.7</v>
      </c>
    </row>
    <row r="15" customFormat="false" ht="15" hidden="false" customHeight="false" outlineLevel="0" collapsed="false">
      <c r="A15" s="29" t="s">
        <v>373</v>
      </c>
      <c r="B15" s="60" t="s">
        <v>1469</v>
      </c>
      <c r="C15" s="105" t="n">
        <v>3800</v>
      </c>
      <c r="D15" s="127" t="n">
        <v>0</v>
      </c>
    </row>
    <row r="16" customFormat="false" ht="15" hidden="false" customHeight="false" outlineLevel="0" collapsed="false">
      <c r="A16" s="29" t="s">
        <v>374</v>
      </c>
      <c r="B16" s="60" t="s">
        <v>1469</v>
      </c>
      <c r="C16" s="105" t="n">
        <v>6000</v>
      </c>
      <c r="D16" s="127" t="n">
        <v>1</v>
      </c>
    </row>
    <row r="17" customFormat="false" ht="15" hidden="false" customHeight="false" outlineLevel="0" collapsed="false">
      <c r="A17" s="29" t="s">
        <v>375</v>
      </c>
      <c r="B17" s="60" t="s">
        <v>1469</v>
      </c>
      <c r="C17" s="105" t="n">
        <v>4200</v>
      </c>
      <c r="D17" s="127" t="n">
        <v>1</v>
      </c>
    </row>
    <row r="18" customFormat="false" ht="15" hidden="false" customHeight="false" outlineLevel="0" collapsed="false">
      <c r="A18" s="29" t="s">
        <v>1472</v>
      </c>
      <c r="B18" s="60" t="s">
        <v>1469</v>
      </c>
      <c r="C18" s="105" t="n">
        <v>2400</v>
      </c>
      <c r="D18" s="127" t="n">
        <v>1</v>
      </c>
    </row>
    <row r="19" customFormat="false" ht="15" hidden="false" customHeight="false" outlineLevel="0" collapsed="false">
      <c r="A19" s="29" t="s">
        <v>377</v>
      </c>
      <c r="B19" s="60" t="s">
        <v>1469</v>
      </c>
      <c r="C19" s="105" t="n">
        <v>500</v>
      </c>
      <c r="D19" s="127" t="n">
        <v>0</v>
      </c>
    </row>
    <row r="20" customFormat="false" ht="15" hidden="false" customHeight="false" outlineLevel="0" collapsed="false">
      <c r="A20" s="23" t="s">
        <v>1473</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row>
    <row r="21" customFormat="false" ht="15" hidden="false" customHeight="false" outlineLevel="0" collapsed="false">
      <c r="A21" s="29" t="s">
        <v>367</v>
      </c>
      <c r="B21" s="60" t="s">
        <v>1474</v>
      </c>
      <c r="C21" s="61" t="n">
        <f aca="false">SUM(E21:P21)</f>
        <v>288000</v>
      </c>
      <c r="D21" s="61" t="n">
        <f aca="false">SUM(Q21:AB21)</f>
        <v>296640</v>
      </c>
      <c r="E21" s="62" t="n">
        <f aca="false">IF(E$5="A",Inputs_Actuals!E176,Overheads!$C$9*Assumptions!E$195)</f>
        <v>24000</v>
      </c>
      <c r="F21" s="62" t="n">
        <f aca="false">IF(F$5="A",Inputs_Actuals!F176,Overheads!$C$9*Assumptions!F$195)</f>
        <v>24000</v>
      </c>
      <c r="G21" s="62" t="n">
        <f aca="false">IF(G$5="A",Inputs_Actuals!G176,Overheads!$C$9*Assumptions!G$195)</f>
        <v>24000</v>
      </c>
      <c r="H21" s="62" t="n">
        <f aca="false">IF(H$5="A",Inputs_Actuals!H176,Overheads!$C$9*Assumptions!H$195)</f>
        <v>24000</v>
      </c>
      <c r="I21" s="62" t="n">
        <f aca="false">IF(I$5="A",Inputs_Actuals!I176,Overheads!$C$9*Assumptions!I$195)</f>
        <v>24000</v>
      </c>
      <c r="J21" s="62" t="n">
        <f aca="false">IF(J$5="A",Inputs_Actuals!J176,Overheads!$C$9*Assumptions!J$195)</f>
        <v>24000</v>
      </c>
      <c r="K21" s="62" t="n">
        <f aca="false">IF(K$5="A",Inputs_Actuals!K176,Overheads!$C$9*Assumptions!K$195)</f>
        <v>24000</v>
      </c>
      <c r="L21" s="62" t="n">
        <f aca="false">IF(L$5="A",Inputs_Actuals!L176,Overheads!$C$9*Assumptions!L$195)</f>
        <v>24000</v>
      </c>
      <c r="M21" s="62" t="n">
        <f aca="false">IF(M$5="A",Inputs_Actuals!M176,Overheads!$C$9*Assumptions!M$195)</f>
        <v>24000</v>
      </c>
      <c r="N21" s="62" t="n">
        <f aca="false">IF(N$5="A",Inputs_Actuals!N176,Overheads!$C$9*Assumptions!N$195)</f>
        <v>24000</v>
      </c>
      <c r="O21" s="62" t="n">
        <f aca="false">IF(O$5="A",Inputs_Actuals!O176,Overheads!$C$9*Assumptions!O$195)</f>
        <v>24000</v>
      </c>
      <c r="P21" s="62" t="n">
        <f aca="false">IF(P$5="A",Inputs_Actuals!P176,Overheads!$C$9*Assumptions!P$195)</f>
        <v>24000</v>
      </c>
      <c r="Q21" s="62" t="n">
        <f aca="false">IF(Q$5="A",Inputs_Actuals!Q176,Overheads!$C$9*Assumptions!Q$195)</f>
        <v>24720</v>
      </c>
      <c r="R21" s="62" t="n">
        <f aca="false">IF(R$5="A",Inputs_Actuals!R176,Overheads!$C$9*Assumptions!R$195)</f>
        <v>24720</v>
      </c>
      <c r="S21" s="62" t="n">
        <f aca="false">IF(S$5="A",Inputs_Actuals!S176,Overheads!$C$9*Assumptions!S$195)</f>
        <v>24720</v>
      </c>
      <c r="T21" s="62" t="n">
        <f aca="false">IF(T$5="A",Inputs_Actuals!T176,Overheads!$C$9*Assumptions!T$195)</f>
        <v>24720</v>
      </c>
      <c r="U21" s="62" t="n">
        <f aca="false">IF(U$5="A",Inputs_Actuals!U176,Overheads!$C$9*Assumptions!U$195)</f>
        <v>24720</v>
      </c>
      <c r="V21" s="62" t="n">
        <f aca="false">IF(V$5="A",Inputs_Actuals!V176,Overheads!$C$9*Assumptions!V$195)</f>
        <v>24720</v>
      </c>
      <c r="W21" s="62" t="n">
        <f aca="false">IF(W$5="A",Inputs_Actuals!W176,Overheads!$C$9*Assumptions!W$195)</f>
        <v>24720</v>
      </c>
      <c r="X21" s="62" t="n">
        <f aca="false">IF(X$5="A",Inputs_Actuals!X176,Overheads!$C$9*Assumptions!X$195)</f>
        <v>24720</v>
      </c>
      <c r="Y21" s="62" t="n">
        <f aca="false">IF(Y$5="A",Inputs_Actuals!Y176,Overheads!$C$9*Assumptions!Y$195)</f>
        <v>24720</v>
      </c>
      <c r="Z21" s="62" t="n">
        <f aca="false">IF(Z$5="A",Inputs_Actuals!Z176,Overheads!$C$9*Assumptions!Z$195)</f>
        <v>24720</v>
      </c>
      <c r="AA21" s="62" t="n">
        <f aca="false">IF(AA$5="A",Inputs_Actuals!AA176,Overheads!$C$9*Assumptions!AA$195)</f>
        <v>24720</v>
      </c>
      <c r="AB21" s="62" t="n">
        <f aca="false">IF(AB$5="A",Inputs_Actuals!AB176,Overheads!$C$9*Assumptions!AB$195)</f>
        <v>24720</v>
      </c>
    </row>
    <row r="22" customFormat="false" ht="15" hidden="false" customHeight="false" outlineLevel="0" collapsed="false">
      <c r="A22" s="29" t="s">
        <v>368</v>
      </c>
      <c r="B22" s="60" t="s">
        <v>1474</v>
      </c>
      <c r="C22" s="61" t="n">
        <f aca="false">SUM(E22:P22)</f>
        <v>157419</v>
      </c>
      <c r="D22" s="61" t="n">
        <f aca="false">SUM(Q22:AB22)</f>
        <v>166860</v>
      </c>
      <c r="E22" s="62" t="n">
        <f aca="false">IF(E$5="A",Inputs_Actuals!E177,Overheads!$C$10*Assumptions!E$195)</f>
        <v>13323</v>
      </c>
      <c r="F22" s="62" t="n">
        <f aca="false">IF(F$5="A",Inputs_Actuals!F177,Overheads!$C$10*Assumptions!F$195)</f>
        <v>11848</v>
      </c>
      <c r="G22" s="62" t="n">
        <f aca="false">IF(G$5="A",Inputs_Actuals!G177,Overheads!$C$10*Assumptions!G$195)</f>
        <v>13014</v>
      </c>
      <c r="H22" s="62" t="n">
        <f aca="false">IF(H$5="A",Inputs_Actuals!H177,Overheads!$C$10*Assumptions!H$195)</f>
        <v>13385</v>
      </c>
      <c r="I22" s="62" t="n">
        <f aca="false">IF(I$5="A",Inputs_Actuals!I177,Overheads!$C$10*Assumptions!I$195)</f>
        <v>12393</v>
      </c>
      <c r="J22" s="62" t="n">
        <f aca="false">IF(J$5="A",Inputs_Actuals!J177,Overheads!$C$10*Assumptions!J$195)</f>
        <v>12973</v>
      </c>
      <c r="K22" s="62" t="n">
        <f aca="false">IF(K$5="A",Inputs_Actuals!K177,Overheads!$C$10*Assumptions!K$195)</f>
        <v>14038</v>
      </c>
      <c r="L22" s="62" t="n">
        <f aca="false">IF(L$5="A",Inputs_Actuals!L177,Overheads!$C$10*Assumptions!L$195)</f>
        <v>12445</v>
      </c>
      <c r="M22" s="62" t="n">
        <f aca="false">IF(M$5="A",Inputs_Actuals!M177,Overheads!$C$10*Assumptions!M$195)</f>
        <v>13500</v>
      </c>
      <c r="N22" s="62" t="n">
        <f aca="false">IF(N$5="A",Inputs_Actuals!N177,Overheads!$C$10*Assumptions!N$195)</f>
        <v>13500</v>
      </c>
      <c r="O22" s="62" t="n">
        <f aca="false">IF(O$5="A",Inputs_Actuals!O177,Overheads!$C$10*Assumptions!O$195)</f>
        <v>13500</v>
      </c>
      <c r="P22" s="62" t="n">
        <f aca="false">IF(P$5="A",Inputs_Actuals!P177,Overheads!$C$10*Assumptions!P$195)</f>
        <v>13500</v>
      </c>
      <c r="Q22" s="62" t="n">
        <f aca="false">IF(Q$5="A",Inputs_Actuals!Q177,Overheads!$C$10*Assumptions!Q$195)</f>
        <v>13905</v>
      </c>
      <c r="R22" s="62" t="n">
        <f aca="false">IF(R$5="A",Inputs_Actuals!R177,Overheads!$C$10*Assumptions!R$195)</f>
        <v>13905</v>
      </c>
      <c r="S22" s="62" t="n">
        <f aca="false">IF(S$5="A",Inputs_Actuals!S177,Overheads!$C$10*Assumptions!S$195)</f>
        <v>13905</v>
      </c>
      <c r="T22" s="62" t="n">
        <f aca="false">IF(T$5="A",Inputs_Actuals!T177,Overheads!$C$10*Assumptions!T$195)</f>
        <v>13905</v>
      </c>
      <c r="U22" s="62" t="n">
        <f aca="false">IF(U$5="A",Inputs_Actuals!U177,Overheads!$C$10*Assumptions!U$195)</f>
        <v>13905</v>
      </c>
      <c r="V22" s="62" t="n">
        <f aca="false">IF(V$5="A",Inputs_Actuals!V177,Overheads!$C$10*Assumptions!V$195)</f>
        <v>13905</v>
      </c>
      <c r="W22" s="62" t="n">
        <f aca="false">IF(W$5="A",Inputs_Actuals!W177,Overheads!$C$10*Assumptions!W$195)</f>
        <v>13905</v>
      </c>
      <c r="X22" s="62" t="n">
        <f aca="false">IF(X$5="A",Inputs_Actuals!X177,Overheads!$C$10*Assumptions!X$195)</f>
        <v>13905</v>
      </c>
      <c r="Y22" s="62" t="n">
        <f aca="false">IF(Y$5="A",Inputs_Actuals!Y177,Overheads!$C$10*Assumptions!Y$195)</f>
        <v>13905</v>
      </c>
      <c r="Z22" s="62" t="n">
        <f aca="false">IF(Z$5="A",Inputs_Actuals!Z177,Overheads!$C$10*Assumptions!Z$195)</f>
        <v>13905</v>
      </c>
      <c r="AA22" s="62" t="n">
        <f aca="false">IF(AA$5="A",Inputs_Actuals!AA177,Overheads!$C$10*Assumptions!AA$195)</f>
        <v>13905</v>
      </c>
      <c r="AB22" s="62" t="n">
        <f aca="false">IF(AB$5="A",Inputs_Actuals!AB177,Overheads!$C$10*Assumptions!AB$195)</f>
        <v>13905</v>
      </c>
    </row>
    <row r="23" customFormat="false" ht="15" hidden="false" customHeight="false" outlineLevel="0" collapsed="false">
      <c r="A23" s="29" t="s">
        <v>369</v>
      </c>
      <c r="B23" s="60" t="s">
        <v>1474</v>
      </c>
      <c r="C23" s="61" t="n">
        <f aca="false">SUM(E23:P23)</f>
        <v>75600</v>
      </c>
      <c r="D23" s="61" t="n">
        <f aca="false">SUM(Q23:AB23)</f>
        <v>77868</v>
      </c>
      <c r="E23" s="62" t="n">
        <f aca="false">IF(E$5="A",Inputs_Actuals!E178,Overheads!$C$11*Assumptions!E$195)</f>
        <v>6300</v>
      </c>
      <c r="F23" s="62" t="n">
        <f aca="false">IF(F$5="A",Inputs_Actuals!F178,Overheads!$C$11*Assumptions!F$195)</f>
        <v>6300</v>
      </c>
      <c r="G23" s="62" t="n">
        <f aca="false">IF(G$5="A",Inputs_Actuals!G178,Overheads!$C$11*Assumptions!G$195)</f>
        <v>6300</v>
      </c>
      <c r="H23" s="62" t="n">
        <f aca="false">IF(H$5="A",Inputs_Actuals!H178,Overheads!$C$11*Assumptions!H$195)</f>
        <v>6300</v>
      </c>
      <c r="I23" s="62" t="n">
        <f aca="false">IF(I$5="A",Inputs_Actuals!I178,Overheads!$C$11*Assumptions!I$195)</f>
        <v>6300</v>
      </c>
      <c r="J23" s="62" t="n">
        <f aca="false">IF(J$5="A",Inputs_Actuals!J178,Overheads!$C$11*Assumptions!J$195)</f>
        <v>6300</v>
      </c>
      <c r="K23" s="62" t="n">
        <f aca="false">IF(K$5="A",Inputs_Actuals!K178,Overheads!$C$11*Assumptions!K$195)</f>
        <v>6300</v>
      </c>
      <c r="L23" s="62" t="n">
        <f aca="false">IF(L$5="A",Inputs_Actuals!L178,Overheads!$C$11*Assumptions!L$195)</f>
        <v>6300</v>
      </c>
      <c r="M23" s="62" t="n">
        <f aca="false">IF(M$5="A",Inputs_Actuals!M178,Overheads!$C$11*Assumptions!M$195)</f>
        <v>6300</v>
      </c>
      <c r="N23" s="62" t="n">
        <f aca="false">IF(N$5="A",Inputs_Actuals!N178,Overheads!$C$11*Assumptions!N$195)</f>
        <v>6300</v>
      </c>
      <c r="O23" s="62" t="n">
        <f aca="false">IF(O$5="A",Inputs_Actuals!O178,Overheads!$C$11*Assumptions!O$195)</f>
        <v>6300</v>
      </c>
      <c r="P23" s="62" t="n">
        <f aca="false">IF(P$5="A",Inputs_Actuals!P178,Overheads!$C$11*Assumptions!P$195)</f>
        <v>6300</v>
      </c>
      <c r="Q23" s="62" t="n">
        <f aca="false">IF(Q$5="A",Inputs_Actuals!Q178,Overheads!$C$11*Assumptions!Q$195)</f>
        <v>6489</v>
      </c>
      <c r="R23" s="62" t="n">
        <f aca="false">IF(R$5="A",Inputs_Actuals!R178,Overheads!$C$11*Assumptions!R$195)</f>
        <v>6489</v>
      </c>
      <c r="S23" s="62" t="n">
        <f aca="false">IF(S$5="A",Inputs_Actuals!S178,Overheads!$C$11*Assumptions!S$195)</f>
        <v>6489</v>
      </c>
      <c r="T23" s="62" t="n">
        <f aca="false">IF(T$5="A",Inputs_Actuals!T178,Overheads!$C$11*Assumptions!T$195)</f>
        <v>6489</v>
      </c>
      <c r="U23" s="62" t="n">
        <f aca="false">IF(U$5="A",Inputs_Actuals!U178,Overheads!$C$11*Assumptions!U$195)</f>
        <v>6489</v>
      </c>
      <c r="V23" s="62" t="n">
        <f aca="false">IF(V$5="A",Inputs_Actuals!V178,Overheads!$C$11*Assumptions!V$195)</f>
        <v>6489</v>
      </c>
      <c r="W23" s="62" t="n">
        <f aca="false">IF(W$5="A",Inputs_Actuals!W178,Overheads!$C$11*Assumptions!W$195)</f>
        <v>6489</v>
      </c>
      <c r="X23" s="62" t="n">
        <f aca="false">IF(X$5="A",Inputs_Actuals!X178,Overheads!$C$11*Assumptions!X$195)</f>
        <v>6489</v>
      </c>
      <c r="Y23" s="62" t="n">
        <f aca="false">IF(Y$5="A",Inputs_Actuals!Y178,Overheads!$C$11*Assumptions!Y$195)</f>
        <v>6489</v>
      </c>
      <c r="Z23" s="62" t="n">
        <f aca="false">IF(Z$5="A",Inputs_Actuals!Z178,Overheads!$C$11*Assumptions!Z$195)</f>
        <v>6489</v>
      </c>
      <c r="AA23" s="62" t="n">
        <f aca="false">IF(AA$5="A",Inputs_Actuals!AA178,Overheads!$C$11*Assumptions!AA$195)</f>
        <v>6489</v>
      </c>
      <c r="AB23" s="62" t="n">
        <f aca="false">IF(AB$5="A",Inputs_Actuals!AB178,Overheads!$C$11*Assumptions!AB$195)</f>
        <v>6489</v>
      </c>
    </row>
    <row r="24" customFormat="false" ht="15" hidden="false" customHeight="false" outlineLevel="0" collapsed="false">
      <c r="A24" s="29" t="s">
        <v>370</v>
      </c>
      <c r="B24" s="60" t="s">
        <v>1474</v>
      </c>
      <c r="C24" s="61" t="n">
        <f aca="false">SUM(E24:P24)</f>
        <v>101160</v>
      </c>
      <c r="D24" s="61" t="n">
        <f aca="false">SUM(Q24:AB24)</f>
        <v>84359.84</v>
      </c>
      <c r="E24" s="62" t="n">
        <f aca="false">IF(E$5="A",Inputs_Actuals!E179,Overheads!$C$12*Assumptions!E$195+People!E18)</f>
        <v>2600</v>
      </c>
      <c r="F24" s="62" t="n">
        <f aca="false">IF(F$5="A",Inputs_Actuals!F179,Overheads!$C$12*Assumptions!F$195+People!F18)</f>
        <v>27140</v>
      </c>
      <c r="G24" s="62" t="n">
        <f aca="false">IF(G$5="A",Inputs_Actuals!G179,Overheads!$C$12*Assumptions!G$195+People!G18)</f>
        <v>5000</v>
      </c>
      <c r="H24" s="62" t="n">
        <f aca="false">IF(H$5="A",Inputs_Actuals!H179,Overheads!$C$12*Assumptions!H$195+People!H18)</f>
        <v>2400</v>
      </c>
      <c r="I24" s="62" t="n">
        <f aca="false">IF(I$5="A",Inputs_Actuals!I179,Overheads!$C$12*Assumptions!I$195+People!I18)</f>
        <v>5000</v>
      </c>
      <c r="J24" s="62" t="n">
        <f aca="false">IF(J$5="A",Inputs_Actuals!J179,Overheads!$C$12*Assumptions!J$195+People!J18)</f>
        <v>2600</v>
      </c>
      <c r="K24" s="62" t="n">
        <f aca="false">IF(K$5="A",Inputs_Actuals!K179,Overheads!$C$12*Assumptions!K$195+People!K18)</f>
        <v>20760</v>
      </c>
      <c r="L24" s="62" t="n">
        <f aca="false">IF(L$5="A",Inputs_Actuals!L179,Overheads!$C$12*Assumptions!L$195+People!L18)</f>
        <v>2400</v>
      </c>
      <c r="M24" s="62" t="n">
        <f aca="false">IF(M$5="A",Inputs_Actuals!M179,Overheads!$C$12*Assumptions!M$195+People!M18)</f>
        <v>7500</v>
      </c>
      <c r="N24" s="62" t="n">
        <f aca="false">IF(N$5="A",Inputs_Actuals!N179,Overheads!$C$12*Assumptions!N$195+People!N18)</f>
        <v>20760</v>
      </c>
      <c r="O24" s="62" t="n">
        <f aca="false">IF(O$5="A",Inputs_Actuals!O179,Overheads!$C$12*Assumptions!O$195+People!O18)</f>
        <v>2500</v>
      </c>
      <c r="P24" s="62" t="n">
        <f aca="false">IF(P$5="A",Inputs_Actuals!P179,Overheads!$C$12*Assumptions!P$195+People!P18)</f>
        <v>2500</v>
      </c>
      <c r="Q24" s="62" t="n">
        <f aca="false">IF(Q$5="A",Inputs_Actuals!Q179,Overheads!$C$12*Assumptions!Q$195+People!Q18)</f>
        <v>34378.2</v>
      </c>
      <c r="R24" s="62" t="n">
        <f aca="false">IF(R$5="A",Inputs_Actuals!R179,Overheads!$C$12*Assumptions!R$195+People!R18)</f>
        <v>2575</v>
      </c>
      <c r="S24" s="62" t="n">
        <f aca="false">IF(S$5="A",Inputs_Actuals!S179,Overheads!$C$12*Assumptions!S$195+People!S18)</f>
        <v>2575</v>
      </c>
      <c r="T24" s="62" t="n">
        <f aca="false">IF(T$5="A",Inputs_Actuals!T179,Overheads!$C$12*Assumptions!T$195+People!T18)</f>
        <v>19231.64</v>
      </c>
      <c r="U24" s="62" t="n">
        <f aca="false">IF(U$5="A",Inputs_Actuals!U179,Overheads!$C$12*Assumptions!U$195+People!U18)</f>
        <v>2575</v>
      </c>
      <c r="V24" s="62" t="n">
        <f aca="false">IF(V$5="A",Inputs_Actuals!V179,Overheads!$C$12*Assumptions!V$195+People!V18)</f>
        <v>2575</v>
      </c>
      <c r="W24" s="62" t="n">
        <f aca="false">IF(W$5="A",Inputs_Actuals!W179,Overheads!$C$12*Assumptions!W$195+People!W18)</f>
        <v>2575</v>
      </c>
      <c r="X24" s="62" t="n">
        <f aca="false">IF(X$5="A",Inputs_Actuals!X179,Overheads!$C$12*Assumptions!X$195+People!X18)</f>
        <v>2575</v>
      </c>
      <c r="Y24" s="62" t="n">
        <f aca="false">IF(Y$5="A",Inputs_Actuals!Y179,Overheads!$C$12*Assumptions!Y$195+People!Y18)</f>
        <v>7575</v>
      </c>
      <c r="Z24" s="62" t="n">
        <f aca="false">IF(Z$5="A",Inputs_Actuals!Z179,Overheads!$C$12*Assumptions!Z$195+People!Z18)</f>
        <v>2575</v>
      </c>
      <c r="AA24" s="62" t="n">
        <f aca="false">IF(AA$5="A",Inputs_Actuals!AA179,Overheads!$C$12*Assumptions!AA$195+People!AA18)</f>
        <v>2575</v>
      </c>
      <c r="AB24" s="62" t="n">
        <f aca="false">IF(AB$5="A",Inputs_Actuals!AB179,Overheads!$C$12*Assumptions!AB$195+People!AB18)</f>
        <v>2575</v>
      </c>
    </row>
    <row r="25" customFormat="false" ht="15" hidden="false" customHeight="false" outlineLevel="0" collapsed="false">
      <c r="A25" s="29" t="s">
        <v>371</v>
      </c>
      <c r="B25" s="60" t="s">
        <v>1475</v>
      </c>
      <c r="C25" s="61" t="n">
        <f aca="false">SUM(E25:P25)</f>
        <v>97892</v>
      </c>
      <c r="D25" s="61" t="n">
        <f aca="false">SUM(Q25:AB25)</f>
        <v>105060</v>
      </c>
      <c r="E25" s="62" t="n">
        <f aca="false">IF(E$5="A",Inputs_Actuals!E180,Overheads!$C$13*Assumptions!E$195*Assumptions!$F$182)</f>
        <v>5271</v>
      </c>
      <c r="F25" s="62" t="n">
        <f aca="false">IF(F$5="A",Inputs_Actuals!F180,Overheads!$C$13*Assumptions!F$195*Assumptions!$F$182)</f>
        <v>8257</v>
      </c>
      <c r="G25" s="62" t="n">
        <f aca="false">IF(G$5="A",Inputs_Actuals!G180,Overheads!$C$13*Assumptions!G$195*Assumptions!$F$182)</f>
        <v>10457</v>
      </c>
      <c r="H25" s="62" t="n">
        <f aca="false">IF(H$5="A",Inputs_Actuals!H180,Overheads!$C$13*Assumptions!H$195*Assumptions!$F$182)</f>
        <v>8493</v>
      </c>
      <c r="I25" s="62" t="n">
        <f aca="false">IF(I$5="A",Inputs_Actuals!I180,Overheads!$C$13*Assumptions!I$195*Assumptions!$F$182)</f>
        <v>12186</v>
      </c>
      <c r="J25" s="62" t="n">
        <f aca="false">IF(J$5="A",Inputs_Actuals!J180,Overheads!$C$13*Assumptions!J$195*Assumptions!$F$182)</f>
        <v>9257</v>
      </c>
      <c r="K25" s="62" t="n">
        <f aca="false">IF(K$5="A",Inputs_Actuals!K180,Overheads!$C$13*Assumptions!K$195*Assumptions!$F$182)</f>
        <v>5399</v>
      </c>
      <c r="L25" s="62" t="n">
        <f aca="false">IF(L$5="A",Inputs_Actuals!L180,Overheads!$C$13*Assumptions!L$195*Assumptions!$F$182)</f>
        <v>4572</v>
      </c>
      <c r="M25" s="62" t="n">
        <f aca="false">IF(M$5="A",Inputs_Actuals!M180,Overheads!$C$13*Assumptions!M$195*Assumptions!$F$182)</f>
        <v>8500</v>
      </c>
      <c r="N25" s="62" t="n">
        <f aca="false">IF(N$5="A",Inputs_Actuals!N180,Overheads!$C$13*Assumptions!N$195*Assumptions!$F$182)</f>
        <v>8500</v>
      </c>
      <c r="O25" s="62" t="n">
        <f aca="false">IF(O$5="A",Inputs_Actuals!O180,Overheads!$C$13*Assumptions!O$195*Assumptions!$F$182)</f>
        <v>8500</v>
      </c>
      <c r="P25" s="62" t="n">
        <f aca="false">IF(P$5="A",Inputs_Actuals!P180,Overheads!$C$13*Assumptions!P$195*Assumptions!$F$182)</f>
        <v>8500</v>
      </c>
      <c r="Q25" s="62" t="n">
        <f aca="false">IF(Q$5="A",Inputs_Actuals!Q180,Overheads!$C$13*Assumptions!Q$195*Assumptions!$F$182)</f>
        <v>8755</v>
      </c>
      <c r="R25" s="62" t="n">
        <f aca="false">IF(R$5="A",Inputs_Actuals!R180,Overheads!$C$13*Assumptions!R$195*Assumptions!$F$182)</f>
        <v>8755</v>
      </c>
      <c r="S25" s="62" t="n">
        <f aca="false">IF(S$5="A",Inputs_Actuals!S180,Overheads!$C$13*Assumptions!S$195*Assumptions!$F$182)</f>
        <v>8755</v>
      </c>
      <c r="T25" s="62" t="n">
        <f aca="false">IF(T$5="A",Inputs_Actuals!T180,Overheads!$C$13*Assumptions!T$195*Assumptions!$F$182)</f>
        <v>8755</v>
      </c>
      <c r="U25" s="62" t="n">
        <f aca="false">IF(U$5="A",Inputs_Actuals!U180,Overheads!$C$13*Assumptions!U$195*Assumptions!$F$182)</f>
        <v>8755</v>
      </c>
      <c r="V25" s="62" t="n">
        <f aca="false">IF(V$5="A",Inputs_Actuals!V180,Overheads!$C$13*Assumptions!V$195*Assumptions!$F$182)</f>
        <v>8755</v>
      </c>
      <c r="W25" s="62" t="n">
        <f aca="false">IF(W$5="A",Inputs_Actuals!W180,Overheads!$C$13*Assumptions!W$195*Assumptions!$F$182)</f>
        <v>8755</v>
      </c>
      <c r="X25" s="62" t="n">
        <f aca="false">IF(X$5="A",Inputs_Actuals!X180,Overheads!$C$13*Assumptions!X$195*Assumptions!$F$182)</f>
        <v>8755</v>
      </c>
      <c r="Y25" s="62" t="n">
        <f aca="false">IF(Y$5="A",Inputs_Actuals!Y180,Overheads!$C$13*Assumptions!Y$195*Assumptions!$F$182)</f>
        <v>8755</v>
      </c>
      <c r="Z25" s="62" t="n">
        <f aca="false">IF(Z$5="A",Inputs_Actuals!Z180,Overheads!$C$13*Assumptions!Z$195*Assumptions!$F$182)</f>
        <v>8755</v>
      </c>
      <c r="AA25" s="62" t="n">
        <f aca="false">IF(AA$5="A",Inputs_Actuals!AA180,Overheads!$C$13*Assumptions!AA$195*Assumptions!$F$182)</f>
        <v>8755</v>
      </c>
      <c r="AB25" s="62" t="n">
        <f aca="false">IF(AB$5="A",Inputs_Actuals!AB180,Overheads!$C$13*Assumptions!AB$195*Assumptions!$F$182)</f>
        <v>8755</v>
      </c>
    </row>
    <row r="26" customFormat="false" ht="15" hidden="false" customHeight="false" outlineLevel="0" collapsed="false">
      <c r="A26" s="29" t="s">
        <v>372</v>
      </c>
      <c r="B26" s="60" t="s">
        <v>1475</v>
      </c>
      <c r="C26" s="61" t="n">
        <f aca="false">SUM(E26:P26)</f>
        <v>65894</v>
      </c>
      <c r="D26" s="61" t="n">
        <f aca="false">SUM(Q26:AB26)</f>
        <v>67980</v>
      </c>
      <c r="E26" s="62" t="n">
        <f aca="false">IF(E$5="A",Inputs_Actuals!E181,Overheads!$C$14*Assumptions!E$195*Assumptions!$F$182)</f>
        <v>5605</v>
      </c>
      <c r="F26" s="62" t="n">
        <f aca="false">IF(F$5="A",Inputs_Actuals!F181,Overheads!$C$14*Assumptions!F$195*Assumptions!$F$182)</f>
        <v>5445</v>
      </c>
      <c r="G26" s="62" t="n">
        <f aca="false">IF(G$5="A",Inputs_Actuals!G181,Overheads!$C$14*Assumptions!G$195*Assumptions!$F$182)</f>
        <v>6213</v>
      </c>
      <c r="H26" s="62" t="n">
        <f aca="false">IF(H$5="A",Inputs_Actuals!H181,Overheads!$C$14*Assumptions!H$195*Assumptions!$F$182)</f>
        <v>4981</v>
      </c>
      <c r="I26" s="62" t="n">
        <f aca="false">IF(I$5="A",Inputs_Actuals!I181,Overheads!$C$14*Assumptions!I$195*Assumptions!$F$182)</f>
        <v>5559</v>
      </c>
      <c r="J26" s="62" t="n">
        <f aca="false">IF(J$5="A",Inputs_Actuals!J181,Overheads!$C$14*Assumptions!J$195*Assumptions!$F$182)</f>
        <v>4687</v>
      </c>
      <c r="K26" s="62" t="n">
        <f aca="false">IF(K$5="A",Inputs_Actuals!K181,Overheads!$C$14*Assumptions!K$195*Assumptions!$F$182)</f>
        <v>5685</v>
      </c>
      <c r="L26" s="62" t="n">
        <f aca="false">IF(L$5="A",Inputs_Actuals!L181,Overheads!$C$14*Assumptions!L$195*Assumptions!$F$182)</f>
        <v>5719</v>
      </c>
      <c r="M26" s="62" t="n">
        <f aca="false">IF(M$5="A",Inputs_Actuals!M181,Overheads!$C$14*Assumptions!M$195*Assumptions!$F$182)</f>
        <v>5500</v>
      </c>
      <c r="N26" s="62" t="n">
        <f aca="false">IF(N$5="A",Inputs_Actuals!N181,Overheads!$C$14*Assumptions!N$195*Assumptions!$F$182)</f>
        <v>5500</v>
      </c>
      <c r="O26" s="62" t="n">
        <f aca="false">IF(O$5="A",Inputs_Actuals!O181,Overheads!$C$14*Assumptions!O$195*Assumptions!$F$182)</f>
        <v>5500</v>
      </c>
      <c r="P26" s="62" t="n">
        <f aca="false">IF(P$5="A",Inputs_Actuals!P181,Overheads!$C$14*Assumptions!P$195*Assumptions!$F$182)</f>
        <v>5500</v>
      </c>
      <c r="Q26" s="62" t="n">
        <f aca="false">IF(Q$5="A",Inputs_Actuals!Q181,Overheads!$C$14*Assumptions!Q$195*Assumptions!$F$182)</f>
        <v>5665</v>
      </c>
      <c r="R26" s="62" t="n">
        <f aca="false">IF(R$5="A",Inputs_Actuals!R181,Overheads!$C$14*Assumptions!R$195*Assumptions!$F$182)</f>
        <v>5665</v>
      </c>
      <c r="S26" s="62" t="n">
        <f aca="false">IF(S$5="A",Inputs_Actuals!S181,Overheads!$C$14*Assumptions!S$195*Assumptions!$F$182)</f>
        <v>5665</v>
      </c>
      <c r="T26" s="62" t="n">
        <f aca="false">IF(T$5="A",Inputs_Actuals!T181,Overheads!$C$14*Assumptions!T$195*Assumptions!$F$182)</f>
        <v>5665</v>
      </c>
      <c r="U26" s="62" t="n">
        <f aca="false">IF(U$5="A",Inputs_Actuals!U181,Overheads!$C$14*Assumptions!U$195*Assumptions!$F$182)</f>
        <v>5665</v>
      </c>
      <c r="V26" s="62" t="n">
        <f aca="false">IF(V$5="A",Inputs_Actuals!V181,Overheads!$C$14*Assumptions!V$195*Assumptions!$F$182)</f>
        <v>5665</v>
      </c>
      <c r="W26" s="62" t="n">
        <f aca="false">IF(W$5="A",Inputs_Actuals!W181,Overheads!$C$14*Assumptions!W$195*Assumptions!$F$182)</f>
        <v>5665</v>
      </c>
      <c r="X26" s="62" t="n">
        <f aca="false">IF(X$5="A",Inputs_Actuals!X181,Overheads!$C$14*Assumptions!X$195*Assumptions!$F$182)</f>
        <v>5665</v>
      </c>
      <c r="Y26" s="62" t="n">
        <f aca="false">IF(Y$5="A",Inputs_Actuals!Y181,Overheads!$C$14*Assumptions!Y$195*Assumptions!$F$182)</f>
        <v>5665</v>
      </c>
      <c r="Z26" s="62" t="n">
        <f aca="false">IF(Z$5="A",Inputs_Actuals!Z181,Overheads!$C$14*Assumptions!Z$195*Assumptions!$F$182)</f>
        <v>5665</v>
      </c>
      <c r="AA26" s="62" t="n">
        <f aca="false">IF(AA$5="A",Inputs_Actuals!AA181,Overheads!$C$14*Assumptions!AA$195*Assumptions!$F$182)</f>
        <v>5665</v>
      </c>
      <c r="AB26" s="62" t="n">
        <f aca="false">IF(AB$5="A",Inputs_Actuals!AB181,Overheads!$C$14*Assumptions!AB$195*Assumptions!$F$182)</f>
        <v>5665</v>
      </c>
    </row>
    <row r="27" customFormat="false" ht="15" hidden="false" customHeight="false" outlineLevel="0" collapsed="false">
      <c r="A27" s="29" t="s">
        <v>373</v>
      </c>
      <c r="B27" s="60" t="s">
        <v>1474</v>
      </c>
      <c r="C27" s="61" t="n">
        <f aca="false">SUM(E27:P27)</f>
        <v>46100</v>
      </c>
      <c r="D27" s="61" t="n">
        <f aca="false">SUM(Q27:AB27)</f>
        <v>46968</v>
      </c>
      <c r="E27" s="62" t="n">
        <f aca="false">IF(E$5="A",Inputs_Actuals!E182,Overheads!$C$15*Assumptions!E$195)</f>
        <v>4119</v>
      </c>
      <c r="F27" s="62" t="n">
        <f aca="false">IF(F$5="A",Inputs_Actuals!F182,Overheads!$C$15*Assumptions!F$195)</f>
        <v>3907</v>
      </c>
      <c r="G27" s="62" t="n">
        <f aca="false">IF(G$5="A",Inputs_Actuals!G182,Overheads!$C$15*Assumptions!G$195)</f>
        <v>3985</v>
      </c>
      <c r="H27" s="62" t="n">
        <f aca="false">IF(H$5="A",Inputs_Actuals!H182,Overheads!$C$15*Assumptions!H$195)</f>
        <v>3702</v>
      </c>
      <c r="I27" s="62" t="n">
        <f aca="false">IF(I$5="A",Inputs_Actuals!I182,Overheads!$C$15*Assumptions!I$195)</f>
        <v>4027</v>
      </c>
      <c r="J27" s="62" t="n">
        <f aca="false">IF(J$5="A",Inputs_Actuals!J182,Overheads!$C$15*Assumptions!J$195)</f>
        <v>3507</v>
      </c>
      <c r="K27" s="62" t="n">
        <f aca="false">IF(K$5="A",Inputs_Actuals!K182,Overheads!$C$15*Assumptions!K$195)</f>
        <v>3886</v>
      </c>
      <c r="L27" s="62" t="n">
        <f aca="false">IF(L$5="A",Inputs_Actuals!L182,Overheads!$C$15*Assumptions!L$195)</f>
        <v>3767</v>
      </c>
      <c r="M27" s="62" t="n">
        <f aca="false">IF(M$5="A",Inputs_Actuals!M182,Overheads!$C$15*Assumptions!M$195)</f>
        <v>3800</v>
      </c>
      <c r="N27" s="62" t="n">
        <f aca="false">IF(N$5="A",Inputs_Actuals!N182,Overheads!$C$15*Assumptions!N$195)</f>
        <v>3800</v>
      </c>
      <c r="O27" s="62" t="n">
        <f aca="false">IF(O$5="A",Inputs_Actuals!O182,Overheads!$C$15*Assumptions!O$195)</f>
        <v>3800</v>
      </c>
      <c r="P27" s="62" t="n">
        <f aca="false">IF(P$5="A",Inputs_Actuals!P182,Overheads!$C$15*Assumptions!P$195)</f>
        <v>3800</v>
      </c>
      <c r="Q27" s="62" t="n">
        <f aca="false">IF(Q$5="A",Inputs_Actuals!Q182,Overheads!$C$15*Assumptions!Q$195)</f>
        <v>3914</v>
      </c>
      <c r="R27" s="62" t="n">
        <f aca="false">IF(R$5="A",Inputs_Actuals!R182,Overheads!$C$15*Assumptions!R$195)</f>
        <v>3914</v>
      </c>
      <c r="S27" s="62" t="n">
        <f aca="false">IF(S$5="A",Inputs_Actuals!S182,Overheads!$C$15*Assumptions!S$195)</f>
        <v>3914</v>
      </c>
      <c r="T27" s="62" t="n">
        <f aca="false">IF(T$5="A",Inputs_Actuals!T182,Overheads!$C$15*Assumptions!T$195)</f>
        <v>3914</v>
      </c>
      <c r="U27" s="62" t="n">
        <f aca="false">IF(U$5="A",Inputs_Actuals!U182,Overheads!$C$15*Assumptions!U$195)</f>
        <v>3914</v>
      </c>
      <c r="V27" s="62" t="n">
        <f aca="false">IF(V$5="A",Inputs_Actuals!V182,Overheads!$C$15*Assumptions!V$195)</f>
        <v>3914</v>
      </c>
      <c r="W27" s="62" t="n">
        <f aca="false">IF(W$5="A",Inputs_Actuals!W182,Overheads!$C$15*Assumptions!W$195)</f>
        <v>3914</v>
      </c>
      <c r="X27" s="62" t="n">
        <f aca="false">IF(X$5="A",Inputs_Actuals!X182,Overheads!$C$15*Assumptions!X$195)</f>
        <v>3914</v>
      </c>
      <c r="Y27" s="62" t="n">
        <f aca="false">IF(Y$5="A",Inputs_Actuals!Y182,Overheads!$C$15*Assumptions!Y$195)</f>
        <v>3914</v>
      </c>
      <c r="Z27" s="62" t="n">
        <f aca="false">IF(Z$5="A",Inputs_Actuals!Z182,Overheads!$C$15*Assumptions!Z$195)</f>
        <v>3914</v>
      </c>
      <c r="AA27" s="62" t="n">
        <f aca="false">IF(AA$5="A",Inputs_Actuals!AA182,Overheads!$C$15*Assumptions!AA$195)</f>
        <v>3914</v>
      </c>
      <c r="AB27" s="62" t="n">
        <f aca="false">IF(AB$5="A",Inputs_Actuals!AB182,Overheads!$C$15*Assumptions!AB$195)</f>
        <v>3914</v>
      </c>
    </row>
    <row r="28" customFormat="false" ht="15" hidden="false" customHeight="false" outlineLevel="0" collapsed="false">
      <c r="A28" s="29" t="s">
        <v>374</v>
      </c>
      <c r="B28" s="60" t="s">
        <v>1474</v>
      </c>
      <c r="C28" s="61" t="n">
        <f aca="false">SUM(E28:P28)</f>
        <v>71292</v>
      </c>
      <c r="D28" s="61" t="n">
        <f aca="false">SUM(Q28:AB28)</f>
        <v>74160</v>
      </c>
      <c r="E28" s="62" t="n">
        <f aca="false">IF(E$5="A",Inputs_Actuals!E183,Overheads!$C$16*Assumptions!E$195)</f>
        <v>6233</v>
      </c>
      <c r="F28" s="62" t="n">
        <f aca="false">IF(F$5="A",Inputs_Actuals!F183,Overheads!$C$16*Assumptions!F$195)</f>
        <v>5637</v>
      </c>
      <c r="G28" s="62" t="n">
        <f aca="false">IF(G$5="A",Inputs_Actuals!G183,Overheads!$C$16*Assumptions!G$195)</f>
        <v>5729</v>
      </c>
      <c r="H28" s="62" t="n">
        <f aca="false">IF(H$5="A",Inputs_Actuals!H183,Overheads!$C$16*Assumptions!H$195)</f>
        <v>6326</v>
      </c>
      <c r="I28" s="62" t="n">
        <f aca="false">IF(I$5="A",Inputs_Actuals!I183,Overheads!$C$16*Assumptions!I$195)</f>
        <v>5700</v>
      </c>
      <c r="J28" s="62" t="n">
        <f aca="false">IF(J$5="A",Inputs_Actuals!J183,Overheads!$C$16*Assumptions!J$195)</f>
        <v>5710</v>
      </c>
      <c r="K28" s="62" t="n">
        <f aca="false">IF(K$5="A",Inputs_Actuals!K183,Overheads!$C$16*Assumptions!K$195)</f>
        <v>5806</v>
      </c>
      <c r="L28" s="62" t="n">
        <f aca="false">IF(L$5="A",Inputs_Actuals!L183,Overheads!$C$16*Assumptions!L$195)</f>
        <v>6151</v>
      </c>
      <c r="M28" s="62" t="n">
        <f aca="false">IF(M$5="A",Inputs_Actuals!M183,Overheads!$C$16*Assumptions!M$195)</f>
        <v>6000</v>
      </c>
      <c r="N28" s="62" t="n">
        <f aca="false">IF(N$5="A",Inputs_Actuals!N183,Overheads!$C$16*Assumptions!N$195)</f>
        <v>6000</v>
      </c>
      <c r="O28" s="62" t="n">
        <f aca="false">IF(O$5="A",Inputs_Actuals!O183,Overheads!$C$16*Assumptions!O$195)</f>
        <v>6000</v>
      </c>
      <c r="P28" s="62" t="n">
        <f aca="false">IF(P$5="A",Inputs_Actuals!P183,Overheads!$C$16*Assumptions!P$195)</f>
        <v>6000</v>
      </c>
      <c r="Q28" s="62" t="n">
        <f aca="false">IF(Q$5="A",Inputs_Actuals!Q183,Overheads!$C$16*Assumptions!Q$195)</f>
        <v>6180</v>
      </c>
      <c r="R28" s="62" t="n">
        <f aca="false">IF(R$5="A",Inputs_Actuals!R183,Overheads!$C$16*Assumptions!R$195)</f>
        <v>6180</v>
      </c>
      <c r="S28" s="62" t="n">
        <f aca="false">IF(S$5="A",Inputs_Actuals!S183,Overheads!$C$16*Assumptions!S$195)</f>
        <v>6180</v>
      </c>
      <c r="T28" s="62" t="n">
        <f aca="false">IF(T$5="A",Inputs_Actuals!T183,Overheads!$C$16*Assumptions!T$195)</f>
        <v>6180</v>
      </c>
      <c r="U28" s="62" t="n">
        <f aca="false">IF(U$5="A",Inputs_Actuals!U183,Overheads!$C$16*Assumptions!U$195)</f>
        <v>6180</v>
      </c>
      <c r="V28" s="62" t="n">
        <f aca="false">IF(V$5="A",Inputs_Actuals!V183,Overheads!$C$16*Assumptions!V$195)</f>
        <v>6180</v>
      </c>
      <c r="W28" s="62" t="n">
        <f aca="false">IF(W$5="A",Inputs_Actuals!W183,Overheads!$C$16*Assumptions!W$195)</f>
        <v>6180</v>
      </c>
      <c r="X28" s="62" t="n">
        <f aca="false">IF(X$5="A",Inputs_Actuals!X183,Overheads!$C$16*Assumptions!X$195)</f>
        <v>6180</v>
      </c>
      <c r="Y28" s="62" t="n">
        <f aca="false">IF(Y$5="A",Inputs_Actuals!Y183,Overheads!$C$16*Assumptions!Y$195)</f>
        <v>6180</v>
      </c>
      <c r="Z28" s="62" t="n">
        <f aca="false">IF(Z$5="A",Inputs_Actuals!Z183,Overheads!$C$16*Assumptions!Z$195)</f>
        <v>6180</v>
      </c>
      <c r="AA28" s="62" t="n">
        <f aca="false">IF(AA$5="A",Inputs_Actuals!AA183,Overheads!$C$16*Assumptions!AA$195)</f>
        <v>6180</v>
      </c>
      <c r="AB28" s="62" t="n">
        <f aca="false">IF(AB$5="A",Inputs_Actuals!AB183,Overheads!$C$16*Assumptions!AB$195)</f>
        <v>6180</v>
      </c>
    </row>
    <row r="29" customFormat="false" ht="15" hidden="false" customHeight="false" outlineLevel="0" collapsed="false">
      <c r="A29" s="29" t="s">
        <v>375</v>
      </c>
      <c r="B29" s="60" t="s">
        <v>1474</v>
      </c>
      <c r="C29" s="61" t="n">
        <f aca="false">SUM(E29:P29)</f>
        <v>50842</v>
      </c>
      <c r="D29" s="61" t="n">
        <f aca="false">SUM(Q29:AB29)</f>
        <v>51912</v>
      </c>
      <c r="E29" s="62" t="n">
        <f aca="false">IF(E$5="A",Inputs_Actuals!E184,Overheads!$C$17*Assumptions!E$195)</f>
        <v>3851</v>
      </c>
      <c r="F29" s="62" t="n">
        <f aca="false">IF(F$5="A",Inputs_Actuals!F184,Overheads!$C$17*Assumptions!F$195)</f>
        <v>4498</v>
      </c>
      <c r="G29" s="62" t="n">
        <f aca="false">IF(G$5="A",Inputs_Actuals!G184,Overheads!$C$17*Assumptions!G$195)</f>
        <v>4617</v>
      </c>
      <c r="H29" s="62" t="n">
        <f aca="false">IF(H$5="A",Inputs_Actuals!H184,Overheads!$C$17*Assumptions!H$195)</f>
        <v>4280</v>
      </c>
      <c r="I29" s="62" t="n">
        <f aca="false">IF(I$5="A",Inputs_Actuals!I184,Overheads!$C$17*Assumptions!I$195)</f>
        <v>4042</v>
      </c>
      <c r="J29" s="62" t="n">
        <f aca="false">IF(J$5="A",Inputs_Actuals!J184,Overheads!$C$17*Assumptions!J$195)</f>
        <v>4355</v>
      </c>
      <c r="K29" s="62" t="n">
        <f aca="false">IF(K$5="A",Inputs_Actuals!K184,Overheads!$C$17*Assumptions!K$195)</f>
        <v>4019</v>
      </c>
      <c r="L29" s="62" t="n">
        <f aca="false">IF(L$5="A",Inputs_Actuals!L184,Overheads!$C$17*Assumptions!L$195)</f>
        <v>4380</v>
      </c>
      <c r="M29" s="62" t="n">
        <f aca="false">IF(M$5="A",Inputs_Actuals!M184,Overheads!$C$17*Assumptions!M$195)</f>
        <v>4200</v>
      </c>
      <c r="N29" s="62" t="n">
        <f aca="false">IF(N$5="A",Inputs_Actuals!N184,Overheads!$C$17*Assumptions!N$195)</f>
        <v>4200</v>
      </c>
      <c r="O29" s="62" t="n">
        <f aca="false">IF(O$5="A",Inputs_Actuals!O184,Overheads!$C$17*Assumptions!O$195)</f>
        <v>4200</v>
      </c>
      <c r="P29" s="62" t="n">
        <f aca="false">IF(P$5="A",Inputs_Actuals!P184,Overheads!$C$17*Assumptions!P$195)</f>
        <v>4200</v>
      </c>
      <c r="Q29" s="62" t="n">
        <f aca="false">IF(Q$5="A",Inputs_Actuals!Q184,Overheads!$C$17*Assumptions!Q$195)</f>
        <v>4326</v>
      </c>
      <c r="R29" s="62" t="n">
        <f aca="false">IF(R$5="A",Inputs_Actuals!R184,Overheads!$C$17*Assumptions!R$195)</f>
        <v>4326</v>
      </c>
      <c r="S29" s="62" t="n">
        <f aca="false">IF(S$5="A",Inputs_Actuals!S184,Overheads!$C$17*Assumptions!S$195)</f>
        <v>4326</v>
      </c>
      <c r="T29" s="62" t="n">
        <f aca="false">IF(T$5="A",Inputs_Actuals!T184,Overheads!$C$17*Assumptions!T$195)</f>
        <v>4326</v>
      </c>
      <c r="U29" s="62" t="n">
        <f aca="false">IF(U$5="A",Inputs_Actuals!U184,Overheads!$C$17*Assumptions!U$195)</f>
        <v>4326</v>
      </c>
      <c r="V29" s="62" t="n">
        <f aca="false">IF(V$5="A",Inputs_Actuals!V184,Overheads!$C$17*Assumptions!V$195)</f>
        <v>4326</v>
      </c>
      <c r="W29" s="62" t="n">
        <f aca="false">IF(W$5="A",Inputs_Actuals!W184,Overheads!$C$17*Assumptions!W$195)</f>
        <v>4326</v>
      </c>
      <c r="X29" s="62" t="n">
        <f aca="false">IF(X$5="A",Inputs_Actuals!X184,Overheads!$C$17*Assumptions!X$195)</f>
        <v>4326</v>
      </c>
      <c r="Y29" s="62" t="n">
        <f aca="false">IF(Y$5="A",Inputs_Actuals!Y184,Overheads!$C$17*Assumptions!Y$195)</f>
        <v>4326</v>
      </c>
      <c r="Z29" s="62" t="n">
        <f aca="false">IF(Z$5="A",Inputs_Actuals!Z184,Overheads!$C$17*Assumptions!Z$195)</f>
        <v>4326</v>
      </c>
      <c r="AA29" s="62" t="n">
        <f aca="false">IF(AA$5="A",Inputs_Actuals!AA184,Overheads!$C$17*Assumptions!AA$195)</f>
        <v>4326</v>
      </c>
      <c r="AB29" s="62" t="n">
        <f aca="false">IF(AB$5="A",Inputs_Actuals!AB184,Overheads!$C$17*Assumptions!AB$195)</f>
        <v>4326</v>
      </c>
    </row>
    <row r="30" customFormat="false" ht="15" hidden="false" customHeight="false" outlineLevel="0" collapsed="false">
      <c r="A30" s="29" t="s">
        <v>376</v>
      </c>
      <c r="B30" s="60" t="s">
        <v>1475</v>
      </c>
      <c r="C30" s="61" t="n">
        <f aca="false">SUM(E30:P30)</f>
        <v>25070</v>
      </c>
      <c r="D30" s="61" t="n">
        <f aca="false">SUM(Q30:AB30)</f>
        <v>29664</v>
      </c>
      <c r="E30" s="62" t="n">
        <f aca="false">IF(E$5="A",Inputs_Actuals!E185,Overheads!$C$18*Assumptions!E$195*Assumptions!$F$182)</f>
        <v>1273</v>
      </c>
      <c r="F30" s="62" t="n">
        <f aca="false">IF(F$5="A",Inputs_Actuals!F185,Overheads!$C$18*Assumptions!F$195*Assumptions!$F$182)</f>
        <v>1886</v>
      </c>
      <c r="G30" s="62" t="n">
        <f aca="false">IF(G$5="A",Inputs_Actuals!G185,Overheads!$C$18*Assumptions!G$195*Assumptions!$F$182)</f>
        <v>2918</v>
      </c>
      <c r="H30" s="62" t="n">
        <f aca="false">IF(H$5="A",Inputs_Actuals!H185,Overheads!$C$18*Assumptions!H$195*Assumptions!$F$182)</f>
        <v>2101</v>
      </c>
      <c r="I30" s="62" t="n">
        <f aca="false">IF(I$5="A",Inputs_Actuals!I185,Overheads!$C$18*Assumptions!I$195*Assumptions!$F$182)</f>
        <v>2460</v>
      </c>
      <c r="J30" s="62" t="n">
        <f aca="false">IF(J$5="A",Inputs_Actuals!J185,Overheads!$C$18*Assumptions!J$195*Assumptions!$F$182)</f>
        <v>2320</v>
      </c>
      <c r="K30" s="62" t="n">
        <f aca="false">IF(K$5="A",Inputs_Actuals!K185,Overheads!$C$18*Assumptions!K$195*Assumptions!$F$182)</f>
        <v>1522</v>
      </c>
      <c r="L30" s="62" t="n">
        <f aca="false">IF(L$5="A",Inputs_Actuals!L185,Overheads!$C$18*Assumptions!L$195*Assumptions!$F$182)</f>
        <v>990</v>
      </c>
      <c r="M30" s="62" t="n">
        <f aca="false">IF(M$5="A",Inputs_Actuals!M185,Overheads!$C$18*Assumptions!M$195*Assumptions!$F$182)</f>
        <v>2400</v>
      </c>
      <c r="N30" s="62" t="n">
        <f aca="false">IF(N$5="A",Inputs_Actuals!N185,Overheads!$C$18*Assumptions!N$195*Assumptions!$F$182)</f>
        <v>2400</v>
      </c>
      <c r="O30" s="62" t="n">
        <f aca="false">IF(O$5="A",Inputs_Actuals!O185,Overheads!$C$18*Assumptions!O$195*Assumptions!$F$182)</f>
        <v>2400</v>
      </c>
      <c r="P30" s="62" t="n">
        <f aca="false">IF(P$5="A",Inputs_Actuals!P185,Overheads!$C$18*Assumptions!P$195*Assumptions!$F$182)</f>
        <v>2400</v>
      </c>
      <c r="Q30" s="62" t="n">
        <f aca="false">IF(Q$5="A",Inputs_Actuals!Q185,Overheads!$C$18*Assumptions!Q$195*Assumptions!$F$182)</f>
        <v>2472</v>
      </c>
      <c r="R30" s="62" t="n">
        <f aca="false">IF(R$5="A",Inputs_Actuals!R185,Overheads!$C$18*Assumptions!R$195*Assumptions!$F$182)</f>
        <v>2472</v>
      </c>
      <c r="S30" s="62" t="n">
        <f aca="false">IF(S$5="A",Inputs_Actuals!S185,Overheads!$C$18*Assumptions!S$195*Assumptions!$F$182)</f>
        <v>2472</v>
      </c>
      <c r="T30" s="62" t="n">
        <f aca="false">IF(T$5="A",Inputs_Actuals!T185,Overheads!$C$18*Assumptions!T$195*Assumptions!$F$182)</f>
        <v>2472</v>
      </c>
      <c r="U30" s="62" t="n">
        <f aca="false">IF(U$5="A",Inputs_Actuals!U185,Overheads!$C$18*Assumptions!U$195*Assumptions!$F$182)</f>
        <v>2472</v>
      </c>
      <c r="V30" s="62" t="n">
        <f aca="false">IF(V$5="A",Inputs_Actuals!V185,Overheads!$C$18*Assumptions!V$195*Assumptions!$F$182)</f>
        <v>2472</v>
      </c>
      <c r="W30" s="62" t="n">
        <f aca="false">IF(W$5="A",Inputs_Actuals!W185,Overheads!$C$18*Assumptions!W$195*Assumptions!$F$182)</f>
        <v>2472</v>
      </c>
      <c r="X30" s="62" t="n">
        <f aca="false">IF(X$5="A",Inputs_Actuals!X185,Overheads!$C$18*Assumptions!X$195*Assumptions!$F$182)</f>
        <v>2472</v>
      </c>
      <c r="Y30" s="62" t="n">
        <f aca="false">IF(Y$5="A",Inputs_Actuals!Y185,Overheads!$C$18*Assumptions!Y$195*Assumptions!$F$182)</f>
        <v>2472</v>
      </c>
      <c r="Z30" s="62" t="n">
        <f aca="false">IF(Z$5="A",Inputs_Actuals!Z185,Overheads!$C$18*Assumptions!Z$195*Assumptions!$F$182)</f>
        <v>2472</v>
      </c>
      <c r="AA30" s="62" t="n">
        <f aca="false">IF(AA$5="A",Inputs_Actuals!AA185,Overheads!$C$18*Assumptions!AA$195*Assumptions!$F$182)</f>
        <v>2472</v>
      </c>
      <c r="AB30" s="62" t="n">
        <f aca="false">IF(AB$5="A",Inputs_Actuals!AB185,Overheads!$C$18*Assumptions!AB$195*Assumptions!$F$182)</f>
        <v>2472</v>
      </c>
    </row>
    <row r="31" customFormat="false" ht="15" hidden="false" customHeight="false" outlineLevel="0" collapsed="false">
      <c r="A31" s="29" t="s">
        <v>377</v>
      </c>
      <c r="B31" s="60" t="s">
        <v>1474</v>
      </c>
      <c r="C31" s="61" t="n">
        <f aca="false">SUM(E31:P31)</f>
        <v>5807</v>
      </c>
      <c r="D31" s="61" t="n">
        <f aca="false">SUM(Q31:AB31)</f>
        <v>6180</v>
      </c>
      <c r="E31" s="62" t="n">
        <f aca="false">IF(E$5="A",Inputs_Actuals!E186,Overheads!$C$19*Assumptions!E$195)</f>
        <v>474</v>
      </c>
      <c r="F31" s="62" t="n">
        <f aca="false">IF(F$5="A",Inputs_Actuals!F186,Overheads!$C$19*Assumptions!F$195)</f>
        <v>452</v>
      </c>
      <c r="G31" s="62" t="n">
        <f aca="false">IF(G$5="A",Inputs_Actuals!G186,Overheads!$C$19*Assumptions!G$195)</f>
        <v>527</v>
      </c>
      <c r="H31" s="62" t="n">
        <f aca="false">IF(H$5="A",Inputs_Actuals!H186,Overheads!$C$19*Assumptions!H$195)</f>
        <v>434</v>
      </c>
      <c r="I31" s="62" t="n">
        <f aca="false">IF(I$5="A",Inputs_Actuals!I186,Overheads!$C$19*Assumptions!I$195)</f>
        <v>439</v>
      </c>
      <c r="J31" s="62" t="n">
        <f aca="false">IF(J$5="A",Inputs_Actuals!J186,Overheads!$C$19*Assumptions!J$195)</f>
        <v>516</v>
      </c>
      <c r="K31" s="62" t="n">
        <f aca="false">IF(K$5="A",Inputs_Actuals!K186,Overheads!$C$19*Assumptions!K$195)</f>
        <v>459</v>
      </c>
      <c r="L31" s="62" t="n">
        <f aca="false">IF(L$5="A",Inputs_Actuals!L186,Overheads!$C$19*Assumptions!L$195)</f>
        <v>506</v>
      </c>
      <c r="M31" s="62" t="n">
        <f aca="false">IF(M$5="A",Inputs_Actuals!M186,Overheads!$C$19*Assumptions!M$195)</f>
        <v>500</v>
      </c>
      <c r="N31" s="62" t="n">
        <f aca="false">IF(N$5="A",Inputs_Actuals!N186,Overheads!$C$19*Assumptions!N$195)</f>
        <v>500</v>
      </c>
      <c r="O31" s="62" t="n">
        <f aca="false">IF(O$5="A",Inputs_Actuals!O186,Overheads!$C$19*Assumptions!O$195)</f>
        <v>500</v>
      </c>
      <c r="P31" s="62" t="n">
        <f aca="false">IF(P$5="A",Inputs_Actuals!P186,Overheads!$C$19*Assumptions!P$195)</f>
        <v>500</v>
      </c>
      <c r="Q31" s="62" t="n">
        <f aca="false">IF(Q$5="A",Inputs_Actuals!Q186,Overheads!$C$19*Assumptions!Q$195)</f>
        <v>515</v>
      </c>
      <c r="R31" s="62" t="n">
        <f aca="false">IF(R$5="A",Inputs_Actuals!R186,Overheads!$C$19*Assumptions!R$195)</f>
        <v>515</v>
      </c>
      <c r="S31" s="62" t="n">
        <f aca="false">IF(S$5="A",Inputs_Actuals!S186,Overheads!$C$19*Assumptions!S$195)</f>
        <v>515</v>
      </c>
      <c r="T31" s="62" t="n">
        <f aca="false">IF(T$5="A",Inputs_Actuals!T186,Overheads!$C$19*Assumptions!T$195)</f>
        <v>515</v>
      </c>
      <c r="U31" s="62" t="n">
        <f aca="false">IF(U$5="A",Inputs_Actuals!U186,Overheads!$C$19*Assumptions!U$195)</f>
        <v>515</v>
      </c>
      <c r="V31" s="62" t="n">
        <f aca="false">IF(V$5="A",Inputs_Actuals!V186,Overheads!$C$19*Assumptions!V$195)</f>
        <v>515</v>
      </c>
      <c r="W31" s="62" t="n">
        <f aca="false">IF(W$5="A",Inputs_Actuals!W186,Overheads!$C$19*Assumptions!W$195)</f>
        <v>515</v>
      </c>
      <c r="X31" s="62" t="n">
        <f aca="false">IF(X$5="A",Inputs_Actuals!X186,Overheads!$C$19*Assumptions!X$195)</f>
        <v>515</v>
      </c>
      <c r="Y31" s="62" t="n">
        <f aca="false">IF(Y$5="A",Inputs_Actuals!Y186,Overheads!$C$19*Assumptions!Y$195)</f>
        <v>515</v>
      </c>
      <c r="Z31" s="62" t="n">
        <f aca="false">IF(Z$5="A",Inputs_Actuals!Z186,Overheads!$C$19*Assumptions!Z$195)</f>
        <v>515</v>
      </c>
      <c r="AA31" s="62" t="n">
        <f aca="false">IF(AA$5="A",Inputs_Actuals!AA186,Overheads!$C$19*Assumptions!AA$195)</f>
        <v>515</v>
      </c>
      <c r="AB31" s="62" t="n">
        <f aca="false">IF(AB$5="A",Inputs_Actuals!AB186,Overheads!$C$19*Assumptions!AB$195)</f>
        <v>515</v>
      </c>
    </row>
    <row r="32" customFormat="false" ht="15" hidden="false" customHeight="false" outlineLevel="0" collapsed="false">
      <c r="A32" s="68" t="s">
        <v>1476</v>
      </c>
      <c r="B32" s="69"/>
      <c r="C32" s="70" t="n">
        <f aca="false">SUM(E32:P32)</f>
        <v>985076</v>
      </c>
      <c r="D32" s="70" t="n">
        <f aca="false">SUM(Q32:AB32)</f>
        <v>1007651.84</v>
      </c>
      <c r="E32" s="70" t="n">
        <f aca="false">E21+E22+E23+E24+E25+E26+E27+E28+E29+E30+E31</f>
        <v>73049</v>
      </c>
      <c r="F32" s="70" t="n">
        <f aca="false">F21+F22+F23+F24+F25+F26+F27+F28+F29+F30+F31</f>
        <v>99370</v>
      </c>
      <c r="G32" s="70" t="n">
        <f aca="false">G21+G22+G23+G24+G25+G26+G27+G28+G29+G30+G31</f>
        <v>82760</v>
      </c>
      <c r="H32" s="70" t="n">
        <f aca="false">H21+H22+H23+H24+H25+H26+H27+H28+H29+H30+H31</f>
        <v>76402</v>
      </c>
      <c r="I32" s="70" t="n">
        <f aca="false">I21+I22+I23+I24+I25+I26+I27+I28+I29+I30+I31</f>
        <v>82106</v>
      </c>
      <c r="J32" s="70" t="n">
        <f aca="false">J21+J22+J23+J24+J25+J26+J27+J28+J29+J30+J31</f>
        <v>76225</v>
      </c>
      <c r="K32" s="70" t="n">
        <f aca="false">K21+K22+K23+K24+K25+K26+K27+K28+K29+K30+K31</f>
        <v>91874</v>
      </c>
      <c r="L32" s="70" t="n">
        <f aca="false">L21+L22+L23+L24+L25+L26+L27+L28+L29+L30+L31</f>
        <v>71230</v>
      </c>
      <c r="M32" s="70" t="n">
        <f aca="false">M21+M22+M23+M24+M25+M26+M27+M28+M29+M30+M31</f>
        <v>82200</v>
      </c>
      <c r="N32" s="70" t="n">
        <f aca="false">N21+N22+N23+N24+N25+N26+N27+N28+N29+N30+N31</f>
        <v>95460</v>
      </c>
      <c r="O32" s="70" t="n">
        <f aca="false">O21+O22+O23+O24+O25+O26+O27+O28+O29+O30+O31</f>
        <v>77200</v>
      </c>
      <c r="P32" s="70" t="n">
        <f aca="false">P21+P22+P23+P24+P25+P26+P27+P28+P29+P30+P31</f>
        <v>77200</v>
      </c>
      <c r="Q32" s="70" t="n">
        <f aca="false">Q21+Q22+Q23+Q24+Q25+Q26+Q27+Q28+Q29+Q30+Q31</f>
        <v>111319.2</v>
      </c>
      <c r="R32" s="70" t="n">
        <f aca="false">R21+R22+R23+R24+R25+R26+R27+R28+R29+R30+R31</f>
        <v>79516</v>
      </c>
      <c r="S32" s="70" t="n">
        <f aca="false">S21+S22+S23+S24+S25+S26+S27+S28+S29+S30+S31</f>
        <v>79516</v>
      </c>
      <c r="T32" s="70" t="n">
        <f aca="false">T21+T22+T23+T24+T25+T26+T27+T28+T29+T30+T31</f>
        <v>96172.64</v>
      </c>
      <c r="U32" s="70" t="n">
        <f aca="false">U21+U22+U23+U24+U25+U26+U27+U28+U29+U30+U31</f>
        <v>79516</v>
      </c>
      <c r="V32" s="70" t="n">
        <f aca="false">V21+V22+V23+V24+V25+V26+V27+V28+V29+V30+V31</f>
        <v>79516</v>
      </c>
      <c r="W32" s="70" t="n">
        <f aca="false">W21+W22+W23+W24+W25+W26+W27+W28+W29+W30+W31</f>
        <v>79516</v>
      </c>
      <c r="X32" s="70" t="n">
        <f aca="false">X21+X22+X23+X24+X25+X26+X27+X28+X29+X30+X31</f>
        <v>79516</v>
      </c>
      <c r="Y32" s="70" t="n">
        <f aca="false">Y21+Y22+Y23+Y24+Y25+Y26+Y27+Y28+Y29+Y30+Y31</f>
        <v>84516</v>
      </c>
      <c r="Z32" s="70" t="n">
        <f aca="false">Z21+Z22+Z23+Z24+Z25+Z26+Z27+Z28+Z29+Z30+Z31</f>
        <v>79516</v>
      </c>
      <c r="AA32" s="70" t="n">
        <f aca="false">AA21+AA22+AA23+AA24+AA25+AA26+AA27+AA28+AA29+AA30+AA31</f>
        <v>79516</v>
      </c>
      <c r="AB32" s="70" t="n">
        <f aca="false">AB21+AB22+AB23+AB24+AB25+AB26+AB27+AB28+AB29+AB30+AB31</f>
        <v>79516</v>
      </c>
    </row>
    <row r="33" customFormat="false" ht="15" hidden="false" customHeight="false" outlineLevel="0" collapsed="false">
      <c r="A33" s="29" t="s">
        <v>1477</v>
      </c>
      <c r="B33" s="60" t="s">
        <v>1478</v>
      </c>
      <c r="C33" s="61" t="n">
        <f aca="false">SUM(E33:P33)</f>
        <v>799371</v>
      </c>
      <c r="D33" s="61" t="n">
        <f aca="false">SUM(Q33:AB33)</f>
        <v>812981.84</v>
      </c>
      <c r="E33" s="62" t="n">
        <f aca="false">E21*Overheads!$D$9+E22*Overheads!$D$10+E23*Overheads!$D$11+E24*Overheads!$D$12+E25*Overheads!$D$13+E26*Overheads!$D$14+E27*Overheads!$D$15+E28*Overheads!$D$16+E29*Overheads!$D$17+E30*Overheads!$D$18+E31*Overheads!$D$19</f>
        <v>57726.5</v>
      </c>
      <c r="F33" s="62" t="n">
        <f aca="false">F21*Overheads!$D$9+F22*Overheads!$D$10+F23*Overheads!$D$11+F24*Overheads!$D$12+F25*Overheads!$D$13+F26*Overheads!$D$14+F27*Overheads!$D$15+F28*Overheads!$D$16+F29*Overheads!$D$17+F30*Overheads!$D$18+F31*Overheads!$D$19</f>
        <v>84617.3</v>
      </c>
      <c r="G33" s="62" t="n">
        <f aca="false">G21*Overheads!$D$9+G22*Overheads!$D$10+G23*Overheads!$D$11+G24*Overheads!$D$12+G25*Overheads!$D$13+G26*Overheads!$D$14+G27*Overheads!$D$15+G28*Overheads!$D$16+G29*Overheads!$D$17+G30*Overheads!$D$18+G31*Overheads!$D$19</f>
        <v>66484.3</v>
      </c>
      <c r="H33" s="62" t="n">
        <f aca="false">H21*Overheads!$D$9+H22*Overheads!$D$10+H23*Overheads!$D$11+H24*Overheads!$D$12+H25*Overheads!$D$13+H26*Overheads!$D$14+H27*Overheads!$D$15+H28*Overheads!$D$16+H29*Overheads!$D$17+H30*Overheads!$D$18+H31*Overheads!$D$19</f>
        <v>61042.1</v>
      </c>
      <c r="I33" s="62" t="n">
        <f aca="false">I21*Overheads!$D$9+I22*Overheads!$D$10+I23*Overheads!$D$11+I24*Overheads!$D$12+I25*Overheads!$D$13+I26*Overheads!$D$14+I27*Overheads!$D$15+I28*Overheads!$D$16+I29*Overheads!$D$17+I30*Overheads!$D$18+I31*Overheads!$D$19</f>
        <v>66099.3</v>
      </c>
      <c r="J33" s="62" t="n">
        <f aca="false">J21*Overheads!$D$9+J22*Overheads!$D$10+J23*Overheads!$D$11+J24*Overheads!$D$12+J25*Overheads!$D$13+J26*Overheads!$D$14+J27*Overheads!$D$15+J28*Overheads!$D$16+J29*Overheads!$D$17+J30*Overheads!$D$18+J31*Overheads!$D$19</f>
        <v>61160.7</v>
      </c>
      <c r="K33" s="62" t="n">
        <f aca="false">K21*Overheads!$D$9+K22*Overheads!$D$10+K23*Overheads!$D$11+K24*Overheads!$D$12+K25*Overheads!$D$13+K26*Overheads!$D$14+K27*Overheads!$D$15+K28*Overheads!$D$16+K29*Overheads!$D$17+K30*Overheads!$D$18+K31*Overheads!$D$19</f>
        <v>76320.9</v>
      </c>
      <c r="L33" s="62" t="n">
        <f aca="false">L21*Overheads!$D$9+L22*Overheads!$D$10+L23*Overheads!$D$11+L24*Overheads!$D$12+L25*Overheads!$D$13+L26*Overheads!$D$14+L27*Overheads!$D$15+L28*Overheads!$D$16+L29*Overheads!$D$17+L30*Overheads!$D$18+L31*Overheads!$D$19</f>
        <v>56859.9</v>
      </c>
      <c r="M33" s="62" t="n">
        <f aca="false">M21*Overheads!$D$9+M22*Overheads!$D$10+M23*Overheads!$D$11+M24*Overheads!$D$12+M25*Overheads!$D$13+M26*Overheads!$D$14+M27*Overheads!$D$15+M28*Overheads!$D$16+M29*Overheads!$D$17+M30*Overheads!$D$18+M31*Overheads!$D$19</f>
        <v>66450</v>
      </c>
      <c r="N33" s="62" t="n">
        <f aca="false">N21*Overheads!$D$9+N22*Overheads!$D$10+N23*Overheads!$D$11+N24*Overheads!$D$12+N25*Overheads!$D$13+N26*Overheads!$D$14+N27*Overheads!$D$15+N28*Overheads!$D$16+N29*Overheads!$D$17+N30*Overheads!$D$18+N31*Overheads!$D$19</f>
        <v>79710</v>
      </c>
      <c r="O33" s="62" t="n">
        <f aca="false">O21*Overheads!$D$9+O22*Overheads!$D$10+O23*Overheads!$D$11+O24*Overheads!$D$12+O25*Overheads!$D$13+O26*Overheads!$D$14+O27*Overheads!$D$15+O28*Overheads!$D$16+O29*Overheads!$D$17+O30*Overheads!$D$18+O31*Overheads!$D$19</f>
        <v>61450</v>
      </c>
      <c r="P33" s="62" t="n">
        <f aca="false">P21*Overheads!$D$9+P22*Overheads!$D$10+P23*Overheads!$D$11+P24*Overheads!$D$12+P25*Overheads!$D$13+P26*Overheads!$D$14+P27*Overheads!$D$15+P28*Overheads!$D$16+P29*Overheads!$D$17+P30*Overheads!$D$18+P31*Overheads!$D$19</f>
        <v>61450</v>
      </c>
      <c r="Q33" s="62" t="n">
        <f aca="false">Q21*Overheads!$D$9+Q22*Overheads!$D$10+Q23*Overheads!$D$11+Q24*Overheads!$D$12+Q25*Overheads!$D$13+Q26*Overheads!$D$14+Q27*Overheads!$D$15+Q28*Overheads!$D$16+Q29*Overheads!$D$17+Q30*Overheads!$D$18+Q31*Overheads!$D$19</f>
        <v>95096.7</v>
      </c>
      <c r="R33" s="62" t="n">
        <f aca="false">R21*Overheads!$D$9+R22*Overheads!$D$10+R23*Overheads!$D$11+R24*Overheads!$D$12+R25*Overheads!$D$13+R26*Overheads!$D$14+R27*Overheads!$D$15+R28*Overheads!$D$16+R29*Overheads!$D$17+R30*Overheads!$D$18+R31*Overheads!$D$19</f>
        <v>63293.5</v>
      </c>
      <c r="S33" s="62" t="n">
        <f aca="false">S21*Overheads!$D$9+S22*Overheads!$D$10+S23*Overheads!$D$11+S24*Overheads!$D$12+S25*Overheads!$D$13+S26*Overheads!$D$14+S27*Overheads!$D$15+S28*Overheads!$D$16+S29*Overheads!$D$17+S30*Overheads!$D$18+S31*Overheads!$D$19</f>
        <v>63293.5</v>
      </c>
      <c r="T33" s="62" t="n">
        <f aca="false">T21*Overheads!$D$9+T22*Overheads!$D$10+T23*Overheads!$D$11+T24*Overheads!$D$12+T25*Overheads!$D$13+T26*Overheads!$D$14+T27*Overheads!$D$15+T28*Overheads!$D$16+T29*Overheads!$D$17+T30*Overheads!$D$18+T31*Overheads!$D$19</f>
        <v>79950.14</v>
      </c>
      <c r="U33" s="62" t="n">
        <f aca="false">U21*Overheads!$D$9+U22*Overheads!$D$10+U23*Overheads!$D$11+U24*Overheads!$D$12+U25*Overheads!$D$13+U26*Overheads!$D$14+U27*Overheads!$D$15+U28*Overheads!$D$16+U29*Overheads!$D$17+U30*Overheads!$D$18+U31*Overheads!$D$19</f>
        <v>63293.5</v>
      </c>
      <c r="V33" s="62" t="n">
        <f aca="false">V21*Overheads!$D$9+V22*Overheads!$D$10+V23*Overheads!$D$11+V24*Overheads!$D$12+V25*Overheads!$D$13+V26*Overheads!$D$14+V27*Overheads!$D$15+V28*Overheads!$D$16+V29*Overheads!$D$17+V30*Overheads!$D$18+V31*Overheads!$D$19</f>
        <v>63293.5</v>
      </c>
      <c r="W33" s="62" t="n">
        <f aca="false">W21*Overheads!$D$9+W22*Overheads!$D$10+W23*Overheads!$D$11+W24*Overheads!$D$12+W25*Overheads!$D$13+W26*Overheads!$D$14+W27*Overheads!$D$15+W28*Overheads!$D$16+W29*Overheads!$D$17+W30*Overheads!$D$18+W31*Overheads!$D$19</f>
        <v>63293.5</v>
      </c>
      <c r="X33" s="62" t="n">
        <f aca="false">X21*Overheads!$D$9+X22*Overheads!$D$10+X23*Overheads!$D$11+X24*Overheads!$D$12+X25*Overheads!$D$13+X26*Overheads!$D$14+X27*Overheads!$D$15+X28*Overheads!$D$16+X29*Overheads!$D$17+X30*Overheads!$D$18+X31*Overheads!$D$19</f>
        <v>63293.5</v>
      </c>
      <c r="Y33" s="62" t="n">
        <f aca="false">Y21*Overheads!$D$9+Y22*Overheads!$D$10+Y23*Overheads!$D$11+Y24*Overheads!$D$12+Y25*Overheads!$D$13+Y26*Overheads!$D$14+Y27*Overheads!$D$15+Y28*Overheads!$D$16+Y29*Overheads!$D$17+Y30*Overheads!$D$18+Y31*Overheads!$D$19</f>
        <v>68293.5</v>
      </c>
      <c r="Z33" s="62" t="n">
        <f aca="false">Z21*Overheads!$D$9+Z22*Overheads!$D$10+Z23*Overheads!$D$11+Z24*Overheads!$D$12+Z25*Overheads!$D$13+Z26*Overheads!$D$14+Z27*Overheads!$D$15+Z28*Overheads!$D$16+Z29*Overheads!$D$17+Z30*Overheads!$D$18+Z31*Overheads!$D$19</f>
        <v>63293.5</v>
      </c>
      <c r="AA33" s="62" t="n">
        <f aca="false">AA21*Overheads!$D$9+AA22*Overheads!$D$10+AA23*Overheads!$D$11+AA24*Overheads!$D$12+AA25*Overheads!$D$13+AA26*Overheads!$D$14+AA27*Overheads!$D$15+AA28*Overheads!$D$16+AA29*Overheads!$D$17+AA30*Overheads!$D$18+AA31*Overheads!$D$19</f>
        <v>63293.5</v>
      </c>
      <c r="AB33" s="62" t="n">
        <f aca="false">AB21*Overheads!$D$9+AB22*Overheads!$D$10+AB23*Overheads!$D$11+AB24*Overheads!$D$12+AB25*Overheads!$D$13+AB26*Overheads!$D$14+AB27*Overheads!$D$15+AB28*Overheads!$D$16+AB29*Overheads!$D$17+AB30*Overheads!$D$18+AB31*Overheads!$D$19</f>
        <v>63293.5</v>
      </c>
    </row>
    <row r="34" customFormat="false" ht="15" hidden="false" customHeight="false" outlineLevel="0" collapsed="false">
      <c r="A34" s="29" t="s">
        <v>1479</v>
      </c>
      <c r="B34" s="60" t="s">
        <v>1480</v>
      </c>
      <c r="C34" s="61" t="n">
        <f aca="false">SUM(E34:P34)</f>
        <v>94451.4</v>
      </c>
      <c r="D34" s="61" t="n">
        <f aca="false">SUM(Q34:AB34)</f>
        <v>100116</v>
      </c>
      <c r="E34" s="62" t="n">
        <f aca="false">E22*Assumptions!$C$25</f>
        <v>7993.8</v>
      </c>
      <c r="F34" s="62" t="n">
        <f aca="false">F22*Assumptions!$C$25</f>
        <v>7108.8</v>
      </c>
      <c r="G34" s="62" t="n">
        <f aca="false">G22*Assumptions!$C$25</f>
        <v>7808.4</v>
      </c>
      <c r="H34" s="62" t="n">
        <f aca="false">H22*Assumptions!$C$25</f>
        <v>8031</v>
      </c>
      <c r="I34" s="62" t="n">
        <f aca="false">I22*Assumptions!$C$25</f>
        <v>7435.8</v>
      </c>
      <c r="J34" s="62" t="n">
        <f aca="false">J22*Assumptions!$C$25</f>
        <v>7783.8</v>
      </c>
      <c r="K34" s="62" t="n">
        <f aca="false">K22*Assumptions!$C$25</f>
        <v>8422.8</v>
      </c>
      <c r="L34" s="62" t="n">
        <f aca="false">L22*Assumptions!$C$25</f>
        <v>7467</v>
      </c>
      <c r="M34" s="62" t="n">
        <f aca="false">M22*Assumptions!$C$25</f>
        <v>8100</v>
      </c>
      <c r="N34" s="62" t="n">
        <f aca="false">N22*Assumptions!$C$25</f>
        <v>8100</v>
      </c>
      <c r="O34" s="62" t="n">
        <f aca="false">O22*Assumptions!$C$25</f>
        <v>8100</v>
      </c>
      <c r="P34" s="62" t="n">
        <f aca="false">P22*Assumptions!$C$25</f>
        <v>8100</v>
      </c>
      <c r="Q34" s="62" t="n">
        <f aca="false">Q22*Assumptions!$C$25</f>
        <v>8343</v>
      </c>
      <c r="R34" s="62" t="n">
        <f aca="false">R22*Assumptions!$C$25</f>
        <v>8343</v>
      </c>
      <c r="S34" s="62" t="n">
        <f aca="false">S22*Assumptions!$C$25</f>
        <v>8343</v>
      </c>
      <c r="T34" s="62" t="n">
        <f aca="false">T22*Assumptions!$C$25</f>
        <v>8343</v>
      </c>
      <c r="U34" s="62" t="n">
        <f aca="false">U22*Assumptions!$C$25</f>
        <v>8343</v>
      </c>
      <c r="V34" s="62" t="n">
        <f aca="false">V22*Assumptions!$C$25</f>
        <v>8343</v>
      </c>
      <c r="W34" s="62" t="n">
        <f aca="false">W22*Assumptions!$C$25</f>
        <v>8343</v>
      </c>
      <c r="X34" s="62" t="n">
        <f aca="false">X22*Assumptions!$C$25</f>
        <v>8343</v>
      </c>
      <c r="Y34" s="62" t="n">
        <f aca="false">Y22*Assumptions!$C$25</f>
        <v>8343</v>
      </c>
      <c r="Z34" s="62" t="n">
        <f aca="false">Z22*Assumptions!$C$25</f>
        <v>8343</v>
      </c>
      <c r="AA34" s="62" t="n">
        <f aca="false">AA22*Assumptions!$C$25</f>
        <v>8343</v>
      </c>
      <c r="AB34" s="62" t="n">
        <f aca="false">AB22*Assumptions!$C$25</f>
        <v>8343</v>
      </c>
    </row>
    <row r="35" customFormat="false" ht="15" hidden="false" customHeight="false" outlineLevel="0" collapsed="false">
      <c r="A35" s="29" t="s">
        <v>1481</v>
      </c>
      <c r="B35" s="60" t="s">
        <v>1482</v>
      </c>
      <c r="C35" s="61" t="n">
        <f aca="false">SUM(E35:P35)</f>
        <v>342720</v>
      </c>
      <c r="D35" s="61" t="n">
        <f aca="false">SUM(Q35:AB35)</f>
        <v>353001.6</v>
      </c>
      <c r="E35" s="62" t="n">
        <f aca="false">E21*(1+Assumptions!$C$18*Overheads!$D$9)</f>
        <v>28560</v>
      </c>
      <c r="F35" s="62" t="n">
        <f aca="false">F21*(1+Assumptions!$C$18*Overheads!$D$9)</f>
        <v>28560</v>
      </c>
      <c r="G35" s="62" t="n">
        <f aca="false">G21*(1+Assumptions!$C$18*Overheads!$D$9)</f>
        <v>28560</v>
      </c>
      <c r="H35" s="62" t="n">
        <f aca="false">H21*(1+Assumptions!$C$18*Overheads!$D$9)</f>
        <v>28560</v>
      </c>
      <c r="I35" s="62" t="n">
        <f aca="false">I21*(1+Assumptions!$C$18*Overheads!$D$9)</f>
        <v>28560</v>
      </c>
      <c r="J35" s="62" t="n">
        <f aca="false">J21*(1+Assumptions!$C$18*Overheads!$D$9)</f>
        <v>28560</v>
      </c>
      <c r="K35" s="62" t="n">
        <f aca="false">K21*(1+Assumptions!$C$18*Overheads!$D$9)</f>
        <v>28560</v>
      </c>
      <c r="L35" s="62" t="n">
        <f aca="false">L21*(1+Assumptions!$C$18*Overheads!$D$9)</f>
        <v>28560</v>
      </c>
      <c r="M35" s="62" t="n">
        <f aca="false">M21*(1+Assumptions!$C$18*Overheads!$D$9)</f>
        <v>28560</v>
      </c>
      <c r="N35" s="62" t="n">
        <f aca="false">N21*(1+Assumptions!$C$18*Overheads!$D$9)</f>
        <v>28560</v>
      </c>
      <c r="O35" s="62" t="n">
        <f aca="false">O21*(1+Assumptions!$C$18*Overheads!$D$9)</f>
        <v>28560</v>
      </c>
      <c r="P35" s="62" t="n">
        <f aca="false">P21*(1+Assumptions!$C$18*Overheads!$D$9)</f>
        <v>28560</v>
      </c>
      <c r="Q35" s="62" t="n">
        <f aca="false">Q21*(1+Assumptions!$C$18*Overheads!$D$9)</f>
        <v>29416.8</v>
      </c>
      <c r="R35" s="62" t="n">
        <f aca="false">R21*(1+Assumptions!$C$18*Overheads!$D$9)</f>
        <v>29416.8</v>
      </c>
      <c r="S35" s="62" t="n">
        <f aca="false">S21*(1+Assumptions!$C$18*Overheads!$D$9)</f>
        <v>29416.8</v>
      </c>
      <c r="T35" s="62" t="n">
        <f aca="false">T21*(1+Assumptions!$C$18*Overheads!$D$9)</f>
        <v>29416.8</v>
      </c>
      <c r="U35" s="62" t="n">
        <f aca="false">U21*(1+Assumptions!$C$18*Overheads!$D$9)</f>
        <v>29416.8</v>
      </c>
      <c r="V35" s="62" t="n">
        <f aca="false">V21*(1+Assumptions!$C$18*Overheads!$D$9)</f>
        <v>29416.8</v>
      </c>
      <c r="W35" s="62" t="n">
        <f aca="false">W21*(1+Assumptions!$C$18*Overheads!$D$9)</f>
        <v>29416.8</v>
      </c>
      <c r="X35" s="62" t="n">
        <f aca="false">X21*(1+Assumptions!$C$18*Overheads!$D$9)</f>
        <v>29416.8</v>
      </c>
      <c r="Y35" s="62" t="n">
        <f aca="false">Y21*(1+Assumptions!$C$18*Overheads!$D$9)</f>
        <v>29416.8</v>
      </c>
      <c r="Z35" s="62" t="n">
        <f aca="false">Z21*(1+Assumptions!$C$18*Overheads!$D$9)</f>
        <v>29416.8</v>
      </c>
      <c r="AA35" s="62" t="n">
        <f aca="false">AA21*(1+Assumptions!$C$18*Overheads!$D$9)</f>
        <v>29416.8</v>
      </c>
      <c r="AB35" s="62" t="n">
        <f aca="false">AB21*(1+Assumptions!$C$18*Overheads!$D$9)</f>
        <v>29416.8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1483</v>
      </c>
    </row>
    <row r="3" customFormat="false" ht="15" hidden="false" customHeight="false" outlineLevel="0" collapsed="false">
      <c r="A3" s="51" t="s">
        <v>1484</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1485</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1486</v>
      </c>
      <c r="B9" s="60"/>
      <c r="E9" s="62" t="n">
        <f aca="false">Inputs_Actuals!$C$200</f>
        <v>192000</v>
      </c>
      <c r="F9" s="71" t="n">
        <f aca="false">E11</f>
        <v>195100</v>
      </c>
      <c r="G9" s="71" t="n">
        <f aca="false">F11</f>
        <v>196900</v>
      </c>
      <c r="H9" s="71" t="n">
        <f aca="false">G11</f>
        <v>202100</v>
      </c>
      <c r="I9" s="71" t="n">
        <f aca="false">H11</f>
        <v>204500</v>
      </c>
      <c r="J9" s="71" t="n">
        <f aca="false">I11</f>
        <v>208600</v>
      </c>
      <c r="K9" s="71" t="n">
        <f aca="false">J11</f>
        <v>210800</v>
      </c>
      <c r="L9" s="71" t="n">
        <f aca="false">K11</f>
        <v>214700</v>
      </c>
      <c r="M9" s="71" t="n">
        <f aca="false">L11</f>
        <v>216200</v>
      </c>
      <c r="N9" s="71" t="n">
        <f aca="false">M11</f>
        <v>223600</v>
      </c>
      <c r="O9" s="71" t="n">
        <f aca="false">N11</f>
        <v>228600</v>
      </c>
      <c r="P9" s="71" t="n">
        <f aca="false">O11</f>
        <v>231200</v>
      </c>
      <c r="Q9" s="71" t="n">
        <f aca="false">P11</f>
        <v>233800</v>
      </c>
      <c r="R9" s="71" t="n">
        <f aca="false">Q11</f>
        <v>240078</v>
      </c>
      <c r="S9" s="71" t="n">
        <f aca="false">R11</f>
        <v>242756</v>
      </c>
      <c r="T9" s="71" t="n">
        <f aca="false">S11</f>
        <v>245434</v>
      </c>
      <c r="U9" s="71" t="n">
        <f aca="false">T11</f>
        <v>249672</v>
      </c>
      <c r="V9" s="71" t="n">
        <f aca="false">U11</f>
        <v>252350</v>
      </c>
      <c r="W9" s="71" t="n">
        <f aca="false">V11</f>
        <v>255028</v>
      </c>
      <c r="X9" s="71" t="n">
        <f aca="false">W11</f>
        <v>257706</v>
      </c>
      <c r="Y9" s="71" t="n">
        <f aca="false">X11</f>
        <v>260384</v>
      </c>
      <c r="Z9" s="71" t="n">
        <f aca="false">Y11</f>
        <v>267862</v>
      </c>
      <c r="AA9" s="71" t="n">
        <f aca="false">Z11</f>
        <v>270540</v>
      </c>
      <c r="AB9" s="71" t="n">
        <f aca="false">AA11</f>
        <v>273218</v>
      </c>
    </row>
    <row r="10" customFormat="false" ht="15" hidden="false" customHeight="false" outlineLevel="0" collapsed="false">
      <c r="A10" s="29" t="s">
        <v>1487</v>
      </c>
      <c r="B10" s="60" t="s">
        <v>1488</v>
      </c>
      <c r="C10" s="61" t="n">
        <f aca="false">SUM(E10:P10)</f>
        <v>41800</v>
      </c>
      <c r="D10" s="61" t="n">
        <f aca="false">SUM(Q10:AB10)</f>
        <v>42096</v>
      </c>
      <c r="E10" s="62" t="n">
        <f aca="false">IF(E$5="A",Inputs_Actuals!E187,Assumptions!$C$104*Assumptions!E$195+People!E17*Assumptions!$C$103)</f>
        <v>3100</v>
      </c>
      <c r="F10" s="62" t="n">
        <f aca="false">IF(F$5="A",Inputs_Actuals!F187,Assumptions!$C$104*Assumptions!F$195+People!F17*Assumptions!$C$103)</f>
        <v>1800</v>
      </c>
      <c r="G10" s="62" t="n">
        <f aca="false">IF(G$5="A",Inputs_Actuals!G187,Assumptions!$C$104*Assumptions!G$195+People!G17*Assumptions!$C$103)</f>
        <v>5200</v>
      </c>
      <c r="H10" s="62" t="n">
        <f aca="false">IF(H$5="A",Inputs_Actuals!H187,Assumptions!$C$104*Assumptions!H$195+People!H17*Assumptions!$C$103)</f>
        <v>2400</v>
      </c>
      <c r="I10" s="62" t="n">
        <f aca="false">IF(I$5="A",Inputs_Actuals!I187,Assumptions!$C$104*Assumptions!I$195+People!I17*Assumptions!$C$103)</f>
        <v>4100</v>
      </c>
      <c r="J10" s="62" t="n">
        <f aca="false">IF(J$5="A",Inputs_Actuals!J187,Assumptions!$C$104*Assumptions!J$195+People!J17*Assumptions!$C$103)</f>
        <v>2200</v>
      </c>
      <c r="K10" s="62" t="n">
        <f aca="false">IF(K$5="A",Inputs_Actuals!K187,Assumptions!$C$104*Assumptions!K$195+People!K17*Assumptions!$C$103)</f>
        <v>3900</v>
      </c>
      <c r="L10" s="62" t="n">
        <f aca="false">IF(L$5="A",Inputs_Actuals!L187,Assumptions!$C$104*Assumptions!L$195+People!L17*Assumptions!$C$103)</f>
        <v>1500</v>
      </c>
      <c r="M10" s="62" t="n">
        <f aca="false">IF(M$5="A",Inputs_Actuals!M187,Assumptions!$C$104*Assumptions!M$195+People!M17*Assumptions!$C$103)</f>
        <v>7400</v>
      </c>
      <c r="N10" s="62" t="n">
        <f aca="false">IF(N$5="A",Inputs_Actuals!N187,Assumptions!$C$104*Assumptions!N$195+People!N17*Assumptions!$C$103)</f>
        <v>5000</v>
      </c>
      <c r="O10" s="62" t="n">
        <f aca="false">IF(O$5="A",Inputs_Actuals!O187,Assumptions!$C$104*Assumptions!O$195+People!O17*Assumptions!$C$103)</f>
        <v>2600</v>
      </c>
      <c r="P10" s="62" t="n">
        <f aca="false">IF(P$5="A",Inputs_Actuals!P187,Assumptions!$C$104*Assumptions!P$195+People!P17*Assumptions!$C$103)</f>
        <v>2600</v>
      </c>
      <c r="Q10" s="62" t="n">
        <f aca="false">IF(Q$5="A",Inputs_Actuals!Q187,Assumptions!$C$104*Assumptions!Q$195+People!Q17*Assumptions!$C$103)</f>
        <v>6278</v>
      </c>
      <c r="R10" s="62" t="n">
        <f aca="false">IF(R$5="A",Inputs_Actuals!R187,Assumptions!$C$104*Assumptions!R$195+People!R17*Assumptions!$C$103)</f>
        <v>2678</v>
      </c>
      <c r="S10" s="62" t="n">
        <f aca="false">IF(S$5="A",Inputs_Actuals!S187,Assumptions!$C$104*Assumptions!S$195+People!S17*Assumptions!$C$103)</f>
        <v>2678</v>
      </c>
      <c r="T10" s="62" t="n">
        <f aca="false">IF(T$5="A",Inputs_Actuals!T187,Assumptions!$C$104*Assumptions!T$195+People!T17*Assumptions!$C$103)</f>
        <v>4238</v>
      </c>
      <c r="U10" s="62" t="n">
        <f aca="false">IF(U$5="A",Inputs_Actuals!U187,Assumptions!$C$104*Assumptions!U$195+People!U17*Assumptions!$C$103)</f>
        <v>2678</v>
      </c>
      <c r="V10" s="62" t="n">
        <f aca="false">IF(V$5="A",Inputs_Actuals!V187,Assumptions!$C$104*Assumptions!V$195+People!V17*Assumptions!$C$103)</f>
        <v>2678</v>
      </c>
      <c r="W10" s="62" t="n">
        <f aca="false">IF(W$5="A",Inputs_Actuals!W187,Assumptions!$C$104*Assumptions!W$195+People!W17*Assumptions!$C$103)</f>
        <v>2678</v>
      </c>
      <c r="X10" s="62" t="n">
        <f aca="false">IF(X$5="A",Inputs_Actuals!X187,Assumptions!$C$104*Assumptions!X$195+People!X17*Assumptions!$C$103)</f>
        <v>2678</v>
      </c>
      <c r="Y10" s="62" t="n">
        <f aca="false">IF(Y$5="A",Inputs_Actuals!Y187,Assumptions!$C$104*Assumptions!Y$195+People!Y17*Assumptions!$C$103)</f>
        <v>7478</v>
      </c>
      <c r="Z10" s="62" t="n">
        <f aca="false">IF(Z$5="A",Inputs_Actuals!Z187,Assumptions!$C$104*Assumptions!Z$195+People!Z17*Assumptions!$C$103)</f>
        <v>2678</v>
      </c>
      <c r="AA10" s="62" t="n">
        <f aca="false">IF(AA$5="A",Inputs_Actuals!AA187,Assumptions!$C$104*Assumptions!AA$195+People!AA17*Assumptions!$C$103)</f>
        <v>2678</v>
      </c>
      <c r="AB10" s="62" t="n">
        <f aca="false">IF(AB$5="A",Inputs_Actuals!AB187,Assumptions!$C$104*Assumptions!AB$195+People!AB17*Assumptions!$C$103)</f>
        <v>2678</v>
      </c>
    </row>
    <row r="11" customFormat="false" ht="15" hidden="false" customHeight="false" outlineLevel="0" collapsed="false">
      <c r="A11" s="29" t="s">
        <v>1489</v>
      </c>
      <c r="B11" s="60"/>
      <c r="C11" s="61" t="n">
        <f aca="false">P11</f>
        <v>233800</v>
      </c>
      <c r="D11" s="61" t="n">
        <f aca="false">AB11</f>
        <v>275896</v>
      </c>
      <c r="E11" s="71" t="n">
        <f aca="false">E9+E10</f>
        <v>195100</v>
      </c>
      <c r="F11" s="71" t="n">
        <f aca="false">F9+F10</f>
        <v>196900</v>
      </c>
      <c r="G11" s="71" t="n">
        <f aca="false">G9+G10</f>
        <v>202100</v>
      </c>
      <c r="H11" s="71" t="n">
        <f aca="false">H9+H10</f>
        <v>204500</v>
      </c>
      <c r="I11" s="71" t="n">
        <f aca="false">I9+I10</f>
        <v>208600</v>
      </c>
      <c r="J11" s="71" t="n">
        <f aca="false">J9+J10</f>
        <v>210800</v>
      </c>
      <c r="K11" s="71" t="n">
        <f aca="false">K9+K10</f>
        <v>214700</v>
      </c>
      <c r="L11" s="71" t="n">
        <f aca="false">L9+L10</f>
        <v>216200</v>
      </c>
      <c r="M11" s="71" t="n">
        <f aca="false">M9+M10</f>
        <v>223600</v>
      </c>
      <c r="N11" s="71" t="n">
        <f aca="false">N9+N10</f>
        <v>228600</v>
      </c>
      <c r="O11" s="71" t="n">
        <f aca="false">O9+O10</f>
        <v>231200</v>
      </c>
      <c r="P11" s="71" t="n">
        <f aca="false">P9+P10</f>
        <v>233800</v>
      </c>
      <c r="Q11" s="71" t="n">
        <f aca="false">Q9+Q10</f>
        <v>240078</v>
      </c>
      <c r="R11" s="71" t="n">
        <f aca="false">R9+R10</f>
        <v>242756</v>
      </c>
      <c r="S11" s="71" t="n">
        <f aca="false">S9+S10</f>
        <v>245434</v>
      </c>
      <c r="T11" s="71" t="n">
        <f aca="false">T9+T10</f>
        <v>249672</v>
      </c>
      <c r="U11" s="71" t="n">
        <f aca="false">U9+U10</f>
        <v>252350</v>
      </c>
      <c r="V11" s="71" t="n">
        <f aca="false">V9+V10</f>
        <v>255028</v>
      </c>
      <c r="W11" s="71" t="n">
        <f aca="false">W9+W10</f>
        <v>257706</v>
      </c>
      <c r="X11" s="71" t="n">
        <f aca="false">X9+X10</f>
        <v>260384</v>
      </c>
      <c r="Y11" s="71" t="n">
        <f aca="false">Y9+Y10</f>
        <v>267862</v>
      </c>
      <c r="Z11" s="71" t="n">
        <f aca="false">Z9+Z10</f>
        <v>270540</v>
      </c>
      <c r="AA11" s="71" t="n">
        <f aca="false">AA9+AA10</f>
        <v>273218</v>
      </c>
      <c r="AB11" s="71" t="n">
        <f aca="false">AB9+AB10</f>
        <v>275896</v>
      </c>
    </row>
    <row r="12" customFormat="false" ht="15" hidden="false" customHeight="false" outlineLevel="0" collapsed="false">
      <c r="A12" s="29" t="s">
        <v>1490</v>
      </c>
      <c r="B12" s="60"/>
      <c r="E12" s="62" t="n">
        <f aca="false">Inputs_Actuals!$C$201</f>
        <v>108000</v>
      </c>
      <c r="F12" s="71" t="n">
        <f aca="false">E14</f>
        <v>113419.444444444</v>
      </c>
      <c r="G12" s="71" t="n">
        <f aca="false">F14</f>
        <v>118888.888888889</v>
      </c>
      <c r="H12" s="71" t="n">
        <f aca="false">G14</f>
        <v>124502.777777778</v>
      </c>
      <c r="I12" s="71" t="n">
        <f aca="false">H14</f>
        <v>130183.333333333</v>
      </c>
      <c r="J12" s="71" t="n">
        <f aca="false">I14</f>
        <v>135977.777777778</v>
      </c>
      <c r="K12" s="71" t="n">
        <f aca="false">J14</f>
        <v>141833.333333333</v>
      </c>
      <c r="L12" s="71" t="n">
        <f aca="false">K14</f>
        <v>147797.222222222</v>
      </c>
      <c r="M12" s="71" t="n">
        <f aca="false">L14</f>
        <v>153802.777777778</v>
      </c>
      <c r="N12" s="71" t="n">
        <f aca="false">M14</f>
        <v>160013.888888889</v>
      </c>
      <c r="O12" s="71" t="n">
        <f aca="false">N14</f>
        <v>166363.888888889</v>
      </c>
      <c r="P12" s="71" t="n">
        <f aca="false">O14</f>
        <v>172786.111111111</v>
      </c>
      <c r="Q12" s="71" t="n">
        <f aca="false">P14</f>
        <v>179280.555555556</v>
      </c>
      <c r="R12" s="71" t="n">
        <f aca="false">Q14</f>
        <v>185949.388888889</v>
      </c>
      <c r="S12" s="71" t="n">
        <f aca="false">R14</f>
        <v>192692.611111111</v>
      </c>
      <c r="T12" s="71" t="n">
        <f aca="false">S14</f>
        <v>199510.222222222</v>
      </c>
      <c r="U12" s="71" t="n">
        <f aca="false">T14</f>
        <v>206445.555555556</v>
      </c>
      <c r="V12" s="71" t="n">
        <f aca="false">U14</f>
        <v>213455.277777778</v>
      </c>
      <c r="W12" s="71" t="n">
        <f aca="false">V14</f>
        <v>220539.388888889</v>
      </c>
      <c r="X12" s="71" t="n">
        <f aca="false">W14</f>
        <v>227697.888888889</v>
      </c>
      <c r="Y12" s="71" t="n">
        <f aca="false">X14</f>
        <v>234930.777777778</v>
      </c>
      <c r="Z12" s="71" t="n">
        <f aca="false">Y14</f>
        <v>242371.388888889</v>
      </c>
      <c r="AA12" s="71" t="n">
        <f aca="false">Z14</f>
        <v>249886.388888889</v>
      </c>
      <c r="AB12" s="71" t="n">
        <f aca="false">AA14</f>
        <v>257475.777777778</v>
      </c>
    </row>
    <row r="13" customFormat="false" ht="15" hidden="false" customHeight="false" outlineLevel="0" collapsed="false">
      <c r="A13" s="29" t="s">
        <v>1491</v>
      </c>
      <c r="B13" s="60" t="s">
        <v>1492</v>
      </c>
      <c r="C13" s="61" t="n">
        <f aca="false">SUM(E13:P13)</f>
        <v>71280.5555555556</v>
      </c>
      <c r="D13" s="61" t="n">
        <f aca="false">SUM(Q13:AB13)</f>
        <v>85859</v>
      </c>
      <c r="E13" s="62" t="n">
        <f aca="false">MIN(E11-E12,E11/(Assumptions!$C$105*12))</f>
        <v>5419.44444444444</v>
      </c>
      <c r="F13" s="62" t="n">
        <f aca="false">MIN(F11-F12,F11/(Assumptions!$C$105*12))</f>
        <v>5469.44444444444</v>
      </c>
      <c r="G13" s="62" t="n">
        <f aca="false">MIN(G11-G12,G11/(Assumptions!$C$105*12))</f>
        <v>5613.88888888889</v>
      </c>
      <c r="H13" s="62" t="n">
        <f aca="false">MIN(H11-H12,H11/(Assumptions!$C$105*12))</f>
        <v>5680.55555555556</v>
      </c>
      <c r="I13" s="62" t="n">
        <f aca="false">MIN(I11-I12,I11/(Assumptions!$C$105*12))</f>
        <v>5794.44444444444</v>
      </c>
      <c r="J13" s="62" t="n">
        <f aca="false">MIN(J11-J12,J11/(Assumptions!$C$105*12))</f>
        <v>5855.55555555556</v>
      </c>
      <c r="K13" s="62" t="n">
        <f aca="false">MIN(K11-K12,K11/(Assumptions!$C$105*12))</f>
        <v>5963.88888888889</v>
      </c>
      <c r="L13" s="62" t="n">
        <f aca="false">MIN(L11-L12,L11/(Assumptions!$C$105*12))</f>
        <v>6005.55555555556</v>
      </c>
      <c r="M13" s="62" t="n">
        <f aca="false">MIN(M11-M12,M11/(Assumptions!$C$105*12))</f>
        <v>6211.11111111111</v>
      </c>
      <c r="N13" s="62" t="n">
        <f aca="false">MIN(N11-N12,N11/(Assumptions!$C$105*12))</f>
        <v>6350</v>
      </c>
      <c r="O13" s="62" t="n">
        <f aca="false">MIN(O11-O12,O11/(Assumptions!$C$105*12))</f>
        <v>6422.22222222222</v>
      </c>
      <c r="P13" s="62" t="n">
        <f aca="false">MIN(P11-P12,P11/(Assumptions!$C$105*12))</f>
        <v>6494.44444444444</v>
      </c>
      <c r="Q13" s="62" t="n">
        <f aca="false">MIN(Q11-Q12,Q11/(Assumptions!$C$105*12))</f>
        <v>6668.83333333333</v>
      </c>
      <c r="R13" s="62" t="n">
        <f aca="false">MIN(R11-R12,R11/(Assumptions!$C$105*12))</f>
        <v>6743.22222222222</v>
      </c>
      <c r="S13" s="62" t="n">
        <f aca="false">MIN(S11-S12,S11/(Assumptions!$C$105*12))</f>
        <v>6817.61111111111</v>
      </c>
      <c r="T13" s="62" t="n">
        <f aca="false">MIN(T11-T12,T11/(Assumptions!$C$105*12))</f>
        <v>6935.33333333333</v>
      </c>
      <c r="U13" s="62" t="n">
        <f aca="false">MIN(U11-U12,U11/(Assumptions!$C$105*12))</f>
        <v>7009.72222222222</v>
      </c>
      <c r="V13" s="62" t="n">
        <f aca="false">MIN(V11-V12,V11/(Assumptions!$C$105*12))</f>
        <v>7084.11111111111</v>
      </c>
      <c r="W13" s="62" t="n">
        <f aca="false">MIN(W11-W12,W11/(Assumptions!$C$105*12))</f>
        <v>7158.5</v>
      </c>
      <c r="X13" s="62" t="n">
        <f aca="false">MIN(X11-X12,X11/(Assumptions!$C$105*12))</f>
        <v>7232.88888888889</v>
      </c>
      <c r="Y13" s="62" t="n">
        <f aca="false">MIN(Y11-Y12,Y11/(Assumptions!$C$105*12))</f>
        <v>7440.61111111111</v>
      </c>
      <c r="Z13" s="62" t="n">
        <f aca="false">MIN(Z11-Z12,Z11/(Assumptions!$C$105*12))</f>
        <v>7515</v>
      </c>
      <c r="AA13" s="62" t="n">
        <f aca="false">MIN(AA11-AA12,AA11/(Assumptions!$C$105*12))</f>
        <v>7589.38888888889</v>
      </c>
      <c r="AB13" s="62" t="n">
        <f aca="false">MIN(AB11-AB12,AB11/(Assumptions!$C$105*12))</f>
        <v>7663.77777777778</v>
      </c>
    </row>
    <row r="14" customFormat="false" ht="15" hidden="false" customHeight="false" outlineLevel="0" collapsed="false">
      <c r="A14" s="29" t="s">
        <v>1493</v>
      </c>
      <c r="B14" s="60"/>
      <c r="C14" s="61" t="n">
        <f aca="false">P14</f>
        <v>179280.555555556</v>
      </c>
      <c r="D14" s="61" t="n">
        <f aca="false">AB14</f>
        <v>265139.555555556</v>
      </c>
      <c r="E14" s="71" t="n">
        <f aca="false">E12+E13</f>
        <v>113419.444444444</v>
      </c>
      <c r="F14" s="71" t="n">
        <f aca="false">F12+F13</f>
        <v>118888.888888889</v>
      </c>
      <c r="G14" s="71" t="n">
        <f aca="false">G12+G13</f>
        <v>124502.777777778</v>
      </c>
      <c r="H14" s="71" t="n">
        <f aca="false">H12+H13</f>
        <v>130183.333333333</v>
      </c>
      <c r="I14" s="71" t="n">
        <f aca="false">I12+I13</f>
        <v>135977.777777778</v>
      </c>
      <c r="J14" s="71" t="n">
        <f aca="false">J12+J13</f>
        <v>141833.333333333</v>
      </c>
      <c r="K14" s="71" t="n">
        <f aca="false">K12+K13</f>
        <v>147797.222222222</v>
      </c>
      <c r="L14" s="71" t="n">
        <f aca="false">L12+L13</f>
        <v>153802.777777778</v>
      </c>
      <c r="M14" s="71" t="n">
        <f aca="false">M12+M13</f>
        <v>160013.888888889</v>
      </c>
      <c r="N14" s="71" t="n">
        <f aca="false">N12+N13</f>
        <v>166363.888888889</v>
      </c>
      <c r="O14" s="71" t="n">
        <f aca="false">O12+O13</f>
        <v>172786.111111111</v>
      </c>
      <c r="P14" s="71" t="n">
        <f aca="false">P12+P13</f>
        <v>179280.555555556</v>
      </c>
      <c r="Q14" s="71" t="n">
        <f aca="false">Q12+Q13</f>
        <v>185949.388888889</v>
      </c>
      <c r="R14" s="71" t="n">
        <f aca="false">R12+R13</f>
        <v>192692.611111111</v>
      </c>
      <c r="S14" s="71" t="n">
        <f aca="false">S12+S13</f>
        <v>199510.222222222</v>
      </c>
      <c r="T14" s="71" t="n">
        <f aca="false">T12+T13</f>
        <v>206445.555555556</v>
      </c>
      <c r="U14" s="71" t="n">
        <f aca="false">U12+U13</f>
        <v>213455.277777778</v>
      </c>
      <c r="V14" s="71" t="n">
        <f aca="false">V12+V13</f>
        <v>220539.388888889</v>
      </c>
      <c r="W14" s="71" t="n">
        <f aca="false">W12+W13</f>
        <v>227697.888888889</v>
      </c>
      <c r="X14" s="71" t="n">
        <f aca="false">X12+X13</f>
        <v>234930.777777778</v>
      </c>
      <c r="Y14" s="71" t="n">
        <f aca="false">Y12+Y13</f>
        <v>242371.388888889</v>
      </c>
      <c r="Z14" s="71" t="n">
        <f aca="false">Z12+Z13</f>
        <v>249886.388888889</v>
      </c>
      <c r="AA14" s="71" t="n">
        <f aca="false">AA12+AA13</f>
        <v>257475.777777778</v>
      </c>
      <c r="AB14" s="71" t="n">
        <f aca="false">AB12+AB13</f>
        <v>265139.555555556</v>
      </c>
    </row>
    <row r="15" customFormat="false" ht="15" hidden="false" customHeight="false" outlineLevel="0" collapsed="false">
      <c r="A15" s="68" t="s">
        <v>1494</v>
      </c>
      <c r="B15" s="69"/>
      <c r="C15" s="70" t="n">
        <f aca="false">P15</f>
        <v>54519.4444444444</v>
      </c>
      <c r="D15" s="70" t="n">
        <f aca="false">AB15</f>
        <v>10756.4444444444</v>
      </c>
      <c r="E15" s="70" t="n">
        <f aca="false">E11-E14</f>
        <v>81680.5555555556</v>
      </c>
      <c r="F15" s="70" t="n">
        <f aca="false">F11-F14</f>
        <v>78011.1111111111</v>
      </c>
      <c r="G15" s="70" t="n">
        <f aca="false">G11-G14</f>
        <v>77597.2222222222</v>
      </c>
      <c r="H15" s="70" t="n">
        <f aca="false">H11-H14</f>
        <v>74316.6666666667</v>
      </c>
      <c r="I15" s="70" t="n">
        <f aca="false">I11-I14</f>
        <v>72622.2222222222</v>
      </c>
      <c r="J15" s="70" t="n">
        <f aca="false">J11-J14</f>
        <v>68966.6666666667</v>
      </c>
      <c r="K15" s="70" t="n">
        <f aca="false">K11-K14</f>
        <v>66902.7777777778</v>
      </c>
      <c r="L15" s="70" t="n">
        <f aca="false">L11-L14</f>
        <v>62397.2222222222</v>
      </c>
      <c r="M15" s="70" t="n">
        <f aca="false">M11-M14</f>
        <v>63586.1111111111</v>
      </c>
      <c r="N15" s="70" t="n">
        <f aca="false">N11-N14</f>
        <v>62236.1111111111</v>
      </c>
      <c r="O15" s="70" t="n">
        <f aca="false">O11-O14</f>
        <v>58413.8888888889</v>
      </c>
      <c r="P15" s="70" t="n">
        <f aca="false">P11-P14</f>
        <v>54519.4444444444</v>
      </c>
      <c r="Q15" s="70" t="n">
        <f aca="false">Q11-Q14</f>
        <v>54128.6111111111</v>
      </c>
      <c r="R15" s="70" t="n">
        <f aca="false">R11-R14</f>
        <v>50063.3888888889</v>
      </c>
      <c r="S15" s="70" t="n">
        <f aca="false">S11-S14</f>
        <v>45923.7777777778</v>
      </c>
      <c r="T15" s="70" t="n">
        <f aca="false">T11-T14</f>
        <v>43226.4444444444</v>
      </c>
      <c r="U15" s="70" t="n">
        <f aca="false">U11-U14</f>
        <v>38894.7222222222</v>
      </c>
      <c r="V15" s="70" t="n">
        <f aca="false">V11-V14</f>
        <v>34488.6111111111</v>
      </c>
      <c r="W15" s="70" t="n">
        <f aca="false">W11-W14</f>
        <v>30008.1111111111</v>
      </c>
      <c r="X15" s="70" t="n">
        <f aca="false">X11-X14</f>
        <v>25453.2222222222</v>
      </c>
      <c r="Y15" s="70" t="n">
        <f aca="false">Y11-Y14</f>
        <v>25490.6111111111</v>
      </c>
      <c r="Z15" s="70" t="n">
        <f aca="false">Z11-Z14</f>
        <v>20653.6111111111</v>
      </c>
      <c r="AA15" s="70" t="n">
        <f aca="false">AA11-AA14</f>
        <v>15742.2222222222</v>
      </c>
      <c r="AB15" s="70" t="n">
        <f aca="false">AB11-AB14</f>
        <v>10756.4444444444</v>
      </c>
    </row>
    <row r="16" customFormat="false" ht="15" hidden="false" customHeight="false" outlineLevel="0" collapsed="false">
      <c r="A16" s="23" t="s">
        <v>1495</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row>
    <row r="17" customFormat="false" ht="15" hidden="false" customHeight="false" outlineLevel="0" collapsed="false">
      <c r="A17" s="29" t="s">
        <v>1486</v>
      </c>
      <c r="B17" s="60"/>
      <c r="E17" s="62" t="n">
        <f aca="false">Inputs_Actuals!$C$202</f>
        <v>428000</v>
      </c>
      <c r="F17" s="71" t="n">
        <f aca="false">E19</f>
        <v>428000</v>
      </c>
      <c r="G17" s="71" t="n">
        <f aca="false">F19</f>
        <v>428000</v>
      </c>
      <c r="H17" s="71" t="n">
        <f aca="false">G19</f>
        <v>428000</v>
      </c>
      <c r="I17" s="71" t="n">
        <f aca="false">H19</f>
        <v>428000</v>
      </c>
      <c r="J17" s="71" t="n">
        <f aca="false">I19</f>
        <v>428000</v>
      </c>
      <c r="K17" s="71" t="n">
        <f aca="false">J19</f>
        <v>428000</v>
      </c>
      <c r="L17" s="71" t="n">
        <f aca="false">K19</f>
        <v>428000</v>
      </c>
      <c r="M17" s="71" t="n">
        <f aca="false">L19</f>
        <v>428000</v>
      </c>
      <c r="N17" s="71" t="n">
        <f aca="false">M19</f>
        <v>428000</v>
      </c>
      <c r="O17" s="71" t="n">
        <f aca="false">N19</f>
        <v>428000</v>
      </c>
      <c r="P17" s="71" t="n">
        <f aca="false">O19</f>
        <v>428000</v>
      </c>
      <c r="Q17" s="71" t="n">
        <f aca="false">P19</f>
        <v>428000</v>
      </c>
      <c r="R17" s="71" t="n">
        <f aca="false">Q19</f>
        <v>428000</v>
      </c>
      <c r="S17" s="71" t="n">
        <f aca="false">R19</f>
        <v>428000</v>
      </c>
      <c r="T17" s="71" t="n">
        <f aca="false">S19</f>
        <v>428000</v>
      </c>
      <c r="U17" s="71" t="n">
        <f aca="false">T19</f>
        <v>428000</v>
      </c>
      <c r="V17" s="71" t="n">
        <f aca="false">U19</f>
        <v>428000</v>
      </c>
      <c r="W17" s="71" t="n">
        <f aca="false">V19</f>
        <v>428000</v>
      </c>
      <c r="X17" s="71" t="n">
        <f aca="false">W19</f>
        <v>428000</v>
      </c>
      <c r="Y17" s="71" t="n">
        <f aca="false">X19</f>
        <v>428000</v>
      </c>
      <c r="Z17" s="71" t="n">
        <f aca="false">Y19</f>
        <v>428000</v>
      </c>
      <c r="AA17" s="71" t="n">
        <f aca="false">Z19</f>
        <v>428000</v>
      </c>
      <c r="AB17" s="71" t="n">
        <f aca="false">AA19</f>
        <v>428000</v>
      </c>
    </row>
    <row r="18" customFormat="false" ht="15" hidden="false" customHeight="false" outlineLevel="0" collapsed="false">
      <c r="A18" s="29" t="s">
        <v>1487</v>
      </c>
      <c r="B18" s="60" t="s">
        <v>1488</v>
      </c>
      <c r="C18" s="61" t="n">
        <f aca="false">SUM(E18:P18)</f>
        <v>0</v>
      </c>
      <c r="D18" s="61" t="n">
        <f aca="false">SUM(Q18:AB18)</f>
        <v>0</v>
      </c>
      <c r="E18" s="62" t="n">
        <f aca="false">IF(E$5="A",Inputs_Actuals!E188,0)</f>
        <v>0</v>
      </c>
      <c r="F18" s="62" t="n">
        <f aca="false">IF(F$5="A",Inputs_Actuals!F188,0)</f>
        <v>0</v>
      </c>
      <c r="G18" s="62" t="n">
        <f aca="false">IF(G$5="A",Inputs_Actuals!G188,0)</f>
        <v>0</v>
      </c>
      <c r="H18" s="62" t="n">
        <f aca="false">IF(H$5="A",Inputs_Actuals!H188,0)</f>
        <v>0</v>
      </c>
      <c r="I18" s="62" t="n">
        <f aca="false">IF(I$5="A",Inputs_Actuals!I188,0)</f>
        <v>0</v>
      </c>
      <c r="J18" s="62" t="n">
        <f aca="false">IF(J$5="A",Inputs_Actuals!J188,0)</f>
        <v>0</v>
      </c>
      <c r="K18" s="62" t="n">
        <f aca="false">IF(K$5="A",Inputs_Actuals!K188,0)</f>
        <v>0</v>
      </c>
      <c r="L18" s="62" t="n">
        <f aca="false">IF(L$5="A",Inputs_Actuals!L188,0)</f>
        <v>0</v>
      </c>
      <c r="M18" s="62" t="n">
        <f aca="false">IF(M$5="A",Inputs_Actuals!M188,0)</f>
        <v>0</v>
      </c>
      <c r="N18" s="62" t="n">
        <f aca="false">IF(N$5="A",Inputs_Actuals!N188,0)</f>
        <v>0</v>
      </c>
      <c r="O18" s="62" t="n">
        <f aca="false">IF(O$5="A",Inputs_Actuals!O188,0)</f>
        <v>0</v>
      </c>
      <c r="P18" s="62" t="n">
        <f aca="false">IF(P$5="A",Inputs_Actuals!P188,0)</f>
        <v>0</v>
      </c>
      <c r="Q18" s="62" t="n">
        <f aca="false">IF(Q$5="A",Inputs_Actuals!Q188,0)</f>
        <v>0</v>
      </c>
      <c r="R18" s="62" t="n">
        <f aca="false">IF(R$5="A",Inputs_Actuals!R188,0)</f>
        <v>0</v>
      </c>
      <c r="S18" s="62" t="n">
        <f aca="false">IF(S$5="A",Inputs_Actuals!S188,0)</f>
        <v>0</v>
      </c>
      <c r="T18" s="62" t="n">
        <f aca="false">IF(T$5="A",Inputs_Actuals!T188,0)</f>
        <v>0</v>
      </c>
      <c r="U18" s="62" t="n">
        <f aca="false">IF(U$5="A",Inputs_Actuals!U188,0)</f>
        <v>0</v>
      </c>
      <c r="V18" s="62" t="n">
        <f aca="false">IF(V$5="A",Inputs_Actuals!V188,0)</f>
        <v>0</v>
      </c>
      <c r="W18" s="62" t="n">
        <f aca="false">IF(W$5="A",Inputs_Actuals!W188,0)</f>
        <v>0</v>
      </c>
      <c r="X18" s="62" t="n">
        <f aca="false">IF(X$5="A",Inputs_Actuals!X188,0)</f>
        <v>0</v>
      </c>
      <c r="Y18" s="62" t="n">
        <f aca="false">IF(Y$5="A",Inputs_Actuals!Y188,0)</f>
        <v>0</v>
      </c>
      <c r="Z18" s="62" t="n">
        <f aca="false">IF(Z$5="A",Inputs_Actuals!Z188,0)</f>
        <v>0</v>
      </c>
      <c r="AA18" s="62" t="n">
        <f aca="false">IF(AA$5="A",Inputs_Actuals!AA188,0)</f>
        <v>0</v>
      </c>
      <c r="AB18" s="62" t="n">
        <f aca="false">IF(AB$5="A",Inputs_Actuals!AB188,0)</f>
        <v>0</v>
      </c>
    </row>
    <row r="19" customFormat="false" ht="15" hidden="false" customHeight="false" outlineLevel="0" collapsed="false">
      <c r="A19" s="29" t="s">
        <v>1489</v>
      </c>
      <c r="B19" s="60"/>
      <c r="C19" s="61" t="n">
        <f aca="false">P19</f>
        <v>428000</v>
      </c>
      <c r="D19" s="61" t="n">
        <f aca="false">AB19</f>
        <v>428000</v>
      </c>
      <c r="E19" s="71" t="n">
        <f aca="false">E17+E18</f>
        <v>428000</v>
      </c>
      <c r="F19" s="71" t="n">
        <f aca="false">F17+F18</f>
        <v>428000</v>
      </c>
      <c r="G19" s="71" t="n">
        <f aca="false">G17+G18</f>
        <v>428000</v>
      </c>
      <c r="H19" s="71" t="n">
        <f aca="false">H17+H18</f>
        <v>428000</v>
      </c>
      <c r="I19" s="71" t="n">
        <f aca="false">I17+I18</f>
        <v>428000</v>
      </c>
      <c r="J19" s="71" t="n">
        <f aca="false">J17+J18</f>
        <v>428000</v>
      </c>
      <c r="K19" s="71" t="n">
        <f aca="false">K17+K18</f>
        <v>428000</v>
      </c>
      <c r="L19" s="71" t="n">
        <f aca="false">L17+L18</f>
        <v>428000</v>
      </c>
      <c r="M19" s="71" t="n">
        <f aca="false">M17+M18</f>
        <v>428000</v>
      </c>
      <c r="N19" s="71" t="n">
        <f aca="false">N17+N18</f>
        <v>428000</v>
      </c>
      <c r="O19" s="71" t="n">
        <f aca="false">O17+O18</f>
        <v>428000</v>
      </c>
      <c r="P19" s="71" t="n">
        <f aca="false">P17+P18</f>
        <v>428000</v>
      </c>
      <c r="Q19" s="71" t="n">
        <f aca="false">Q17+Q18</f>
        <v>428000</v>
      </c>
      <c r="R19" s="71" t="n">
        <f aca="false">R17+R18</f>
        <v>428000</v>
      </c>
      <c r="S19" s="71" t="n">
        <f aca="false">S17+S18</f>
        <v>428000</v>
      </c>
      <c r="T19" s="71" t="n">
        <f aca="false">T17+T18</f>
        <v>428000</v>
      </c>
      <c r="U19" s="71" t="n">
        <f aca="false">U17+U18</f>
        <v>428000</v>
      </c>
      <c r="V19" s="71" t="n">
        <f aca="false">V17+V18</f>
        <v>428000</v>
      </c>
      <c r="W19" s="71" t="n">
        <f aca="false">W17+W18</f>
        <v>428000</v>
      </c>
      <c r="X19" s="71" t="n">
        <f aca="false">X17+X18</f>
        <v>428000</v>
      </c>
      <c r="Y19" s="71" t="n">
        <f aca="false">Y17+Y18</f>
        <v>428000</v>
      </c>
      <c r="Z19" s="71" t="n">
        <f aca="false">Z17+Z18</f>
        <v>428000</v>
      </c>
      <c r="AA19" s="71" t="n">
        <f aca="false">AA17+AA18</f>
        <v>428000</v>
      </c>
      <c r="AB19" s="71" t="n">
        <f aca="false">AB17+AB18</f>
        <v>428000</v>
      </c>
    </row>
    <row r="20" customFormat="false" ht="15" hidden="false" customHeight="false" outlineLevel="0" collapsed="false">
      <c r="A20" s="29" t="s">
        <v>1490</v>
      </c>
      <c r="B20" s="60"/>
      <c r="E20" s="62" t="n">
        <f aca="false">Inputs_Actuals!$C$203</f>
        <v>118000</v>
      </c>
      <c r="F20" s="71" t="n">
        <f aca="false">E22</f>
        <v>121566.666666667</v>
      </c>
      <c r="G20" s="71" t="n">
        <f aca="false">F22</f>
        <v>125133.333333333</v>
      </c>
      <c r="H20" s="71" t="n">
        <f aca="false">G22</f>
        <v>128700</v>
      </c>
      <c r="I20" s="71" t="n">
        <f aca="false">H22</f>
        <v>132266.666666667</v>
      </c>
      <c r="J20" s="71" t="n">
        <f aca="false">I22</f>
        <v>135833.333333333</v>
      </c>
      <c r="K20" s="71" t="n">
        <f aca="false">J22</f>
        <v>139400</v>
      </c>
      <c r="L20" s="71" t="n">
        <f aca="false">K22</f>
        <v>142966.666666667</v>
      </c>
      <c r="M20" s="71" t="n">
        <f aca="false">L22</f>
        <v>146533.333333333</v>
      </c>
      <c r="N20" s="71" t="n">
        <f aca="false">M22</f>
        <v>150100</v>
      </c>
      <c r="O20" s="71" t="n">
        <f aca="false">N22</f>
        <v>153666.666666667</v>
      </c>
      <c r="P20" s="71" t="n">
        <f aca="false">O22</f>
        <v>157233.333333333</v>
      </c>
      <c r="Q20" s="71" t="n">
        <f aca="false">P22</f>
        <v>160800</v>
      </c>
      <c r="R20" s="71" t="n">
        <f aca="false">Q22</f>
        <v>164366.666666667</v>
      </c>
      <c r="S20" s="71" t="n">
        <f aca="false">R22</f>
        <v>167933.333333333</v>
      </c>
      <c r="T20" s="71" t="n">
        <f aca="false">S22</f>
        <v>171500</v>
      </c>
      <c r="U20" s="71" t="n">
        <f aca="false">T22</f>
        <v>175066.666666667</v>
      </c>
      <c r="V20" s="71" t="n">
        <f aca="false">U22</f>
        <v>178633.333333333</v>
      </c>
      <c r="W20" s="71" t="n">
        <f aca="false">V22</f>
        <v>182200</v>
      </c>
      <c r="X20" s="71" t="n">
        <f aca="false">W22</f>
        <v>185766.666666667</v>
      </c>
      <c r="Y20" s="71" t="n">
        <f aca="false">X22</f>
        <v>189333.333333333</v>
      </c>
      <c r="Z20" s="71" t="n">
        <f aca="false">Y22</f>
        <v>192900</v>
      </c>
      <c r="AA20" s="71" t="n">
        <f aca="false">Z22</f>
        <v>196466.666666667</v>
      </c>
      <c r="AB20" s="71" t="n">
        <f aca="false">AA22</f>
        <v>200033.333333333</v>
      </c>
    </row>
    <row r="21" customFormat="false" ht="15" hidden="false" customHeight="false" outlineLevel="0" collapsed="false">
      <c r="A21" s="29" t="s">
        <v>1491</v>
      </c>
      <c r="B21" s="60" t="s">
        <v>1492</v>
      </c>
      <c r="C21" s="61" t="n">
        <f aca="false">SUM(E21:P21)</f>
        <v>42800</v>
      </c>
      <c r="D21" s="61" t="n">
        <f aca="false">SUM(Q21:AB21)</f>
        <v>42800</v>
      </c>
      <c r="E21" s="62" t="n">
        <f aca="false">MIN(E19-E20,E19/(Assumptions!$C$106*12))</f>
        <v>3566.66666666667</v>
      </c>
      <c r="F21" s="62" t="n">
        <f aca="false">MIN(F19-F20,F19/(Assumptions!$C$106*12))</f>
        <v>3566.66666666667</v>
      </c>
      <c r="G21" s="62" t="n">
        <f aca="false">MIN(G19-G20,G19/(Assumptions!$C$106*12))</f>
        <v>3566.66666666667</v>
      </c>
      <c r="H21" s="62" t="n">
        <f aca="false">MIN(H19-H20,H19/(Assumptions!$C$106*12))</f>
        <v>3566.66666666667</v>
      </c>
      <c r="I21" s="62" t="n">
        <f aca="false">MIN(I19-I20,I19/(Assumptions!$C$106*12))</f>
        <v>3566.66666666667</v>
      </c>
      <c r="J21" s="62" t="n">
        <f aca="false">MIN(J19-J20,J19/(Assumptions!$C$106*12))</f>
        <v>3566.66666666667</v>
      </c>
      <c r="K21" s="62" t="n">
        <f aca="false">MIN(K19-K20,K19/(Assumptions!$C$106*12))</f>
        <v>3566.66666666667</v>
      </c>
      <c r="L21" s="62" t="n">
        <f aca="false">MIN(L19-L20,L19/(Assumptions!$C$106*12))</f>
        <v>3566.66666666667</v>
      </c>
      <c r="M21" s="62" t="n">
        <f aca="false">MIN(M19-M20,M19/(Assumptions!$C$106*12))</f>
        <v>3566.66666666667</v>
      </c>
      <c r="N21" s="62" t="n">
        <f aca="false">MIN(N19-N20,N19/(Assumptions!$C$106*12))</f>
        <v>3566.66666666667</v>
      </c>
      <c r="O21" s="62" t="n">
        <f aca="false">MIN(O19-O20,O19/(Assumptions!$C$106*12))</f>
        <v>3566.66666666667</v>
      </c>
      <c r="P21" s="62" t="n">
        <f aca="false">MIN(P19-P20,P19/(Assumptions!$C$106*12))</f>
        <v>3566.66666666667</v>
      </c>
      <c r="Q21" s="62" t="n">
        <f aca="false">MIN(Q19-Q20,Q19/(Assumptions!$C$106*12))</f>
        <v>3566.66666666667</v>
      </c>
      <c r="R21" s="62" t="n">
        <f aca="false">MIN(R19-R20,R19/(Assumptions!$C$106*12))</f>
        <v>3566.66666666667</v>
      </c>
      <c r="S21" s="62" t="n">
        <f aca="false">MIN(S19-S20,S19/(Assumptions!$C$106*12))</f>
        <v>3566.66666666667</v>
      </c>
      <c r="T21" s="62" t="n">
        <f aca="false">MIN(T19-T20,T19/(Assumptions!$C$106*12))</f>
        <v>3566.66666666667</v>
      </c>
      <c r="U21" s="62" t="n">
        <f aca="false">MIN(U19-U20,U19/(Assumptions!$C$106*12))</f>
        <v>3566.66666666667</v>
      </c>
      <c r="V21" s="62" t="n">
        <f aca="false">MIN(V19-V20,V19/(Assumptions!$C$106*12))</f>
        <v>3566.66666666667</v>
      </c>
      <c r="W21" s="62" t="n">
        <f aca="false">MIN(W19-W20,W19/(Assumptions!$C$106*12))</f>
        <v>3566.66666666667</v>
      </c>
      <c r="X21" s="62" t="n">
        <f aca="false">MIN(X19-X20,X19/(Assumptions!$C$106*12))</f>
        <v>3566.66666666667</v>
      </c>
      <c r="Y21" s="62" t="n">
        <f aca="false">MIN(Y19-Y20,Y19/(Assumptions!$C$106*12))</f>
        <v>3566.66666666667</v>
      </c>
      <c r="Z21" s="62" t="n">
        <f aca="false">MIN(Z19-Z20,Z19/(Assumptions!$C$106*12))</f>
        <v>3566.66666666667</v>
      </c>
      <c r="AA21" s="62" t="n">
        <f aca="false">MIN(AA19-AA20,AA19/(Assumptions!$C$106*12))</f>
        <v>3566.66666666667</v>
      </c>
      <c r="AB21" s="62" t="n">
        <f aca="false">MIN(AB19-AB20,AB19/(Assumptions!$C$106*12))</f>
        <v>3566.66666666667</v>
      </c>
    </row>
    <row r="22" customFormat="false" ht="15" hidden="false" customHeight="false" outlineLevel="0" collapsed="false">
      <c r="A22" s="29" t="s">
        <v>1493</v>
      </c>
      <c r="B22" s="60"/>
      <c r="C22" s="61" t="n">
        <f aca="false">P22</f>
        <v>160800</v>
      </c>
      <c r="D22" s="61" t="n">
        <f aca="false">AB22</f>
        <v>203600</v>
      </c>
      <c r="E22" s="71" t="n">
        <f aca="false">E20+E21</f>
        <v>121566.666666667</v>
      </c>
      <c r="F22" s="71" t="n">
        <f aca="false">F20+F21</f>
        <v>125133.333333333</v>
      </c>
      <c r="G22" s="71" t="n">
        <f aca="false">G20+G21</f>
        <v>128700</v>
      </c>
      <c r="H22" s="71" t="n">
        <f aca="false">H20+H21</f>
        <v>132266.666666667</v>
      </c>
      <c r="I22" s="71" t="n">
        <f aca="false">I20+I21</f>
        <v>135833.333333333</v>
      </c>
      <c r="J22" s="71" t="n">
        <f aca="false">J20+J21</f>
        <v>139400</v>
      </c>
      <c r="K22" s="71" t="n">
        <f aca="false">K20+K21</f>
        <v>142966.666666667</v>
      </c>
      <c r="L22" s="71" t="n">
        <f aca="false">L20+L21</f>
        <v>146533.333333333</v>
      </c>
      <c r="M22" s="71" t="n">
        <f aca="false">M20+M21</f>
        <v>150100</v>
      </c>
      <c r="N22" s="71" t="n">
        <f aca="false">N20+N21</f>
        <v>153666.666666667</v>
      </c>
      <c r="O22" s="71" t="n">
        <f aca="false">O20+O21</f>
        <v>157233.333333333</v>
      </c>
      <c r="P22" s="71" t="n">
        <f aca="false">P20+P21</f>
        <v>160800</v>
      </c>
      <c r="Q22" s="71" t="n">
        <f aca="false">Q20+Q21</f>
        <v>164366.666666667</v>
      </c>
      <c r="R22" s="71" t="n">
        <f aca="false">R20+R21</f>
        <v>167933.333333333</v>
      </c>
      <c r="S22" s="71" t="n">
        <f aca="false">S20+S21</f>
        <v>171500</v>
      </c>
      <c r="T22" s="71" t="n">
        <f aca="false">T20+T21</f>
        <v>175066.666666667</v>
      </c>
      <c r="U22" s="71" t="n">
        <f aca="false">U20+U21</f>
        <v>178633.333333333</v>
      </c>
      <c r="V22" s="71" t="n">
        <f aca="false">V20+V21</f>
        <v>182200</v>
      </c>
      <c r="W22" s="71" t="n">
        <f aca="false">W20+W21</f>
        <v>185766.666666667</v>
      </c>
      <c r="X22" s="71" t="n">
        <f aca="false">X20+X21</f>
        <v>189333.333333333</v>
      </c>
      <c r="Y22" s="71" t="n">
        <f aca="false">Y20+Y21</f>
        <v>192900</v>
      </c>
      <c r="Z22" s="71" t="n">
        <f aca="false">Z20+Z21</f>
        <v>196466.666666667</v>
      </c>
      <c r="AA22" s="71" t="n">
        <f aca="false">AA20+AA21</f>
        <v>200033.333333333</v>
      </c>
      <c r="AB22" s="71" t="n">
        <f aca="false">AB20+AB21</f>
        <v>203600</v>
      </c>
    </row>
    <row r="23" customFormat="false" ht="15" hidden="false" customHeight="false" outlineLevel="0" collapsed="false">
      <c r="A23" s="68" t="s">
        <v>1494</v>
      </c>
      <c r="B23" s="69"/>
      <c r="C23" s="70" t="n">
        <f aca="false">P23</f>
        <v>267200</v>
      </c>
      <c r="D23" s="70" t="n">
        <f aca="false">AB23</f>
        <v>224400</v>
      </c>
      <c r="E23" s="70" t="n">
        <f aca="false">E19-E22</f>
        <v>306433.333333333</v>
      </c>
      <c r="F23" s="70" t="n">
        <f aca="false">F19-F22</f>
        <v>302866.666666667</v>
      </c>
      <c r="G23" s="70" t="n">
        <f aca="false">G19-G22</f>
        <v>299300</v>
      </c>
      <c r="H23" s="70" t="n">
        <f aca="false">H19-H22</f>
        <v>295733.333333333</v>
      </c>
      <c r="I23" s="70" t="n">
        <f aca="false">I19-I22</f>
        <v>292166.666666667</v>
      </c>
      <c r="J23" s="70" t="n">
        <f aca="false">J19-J22</f>
        <v>288600</v>
      </c>
      <c r="K23" s="70" t="n">
        <f aca="false">K19-K22</f>
        <v>285033.333333333</v>
      </c>
      <c r="L23" s="70" t="n">
        <f aca="false">L19-L22</f>
        <v>281466.666666667</v>
      </c>
      <c r="M23" s="70" t="n">
        <f aca="false">M19-M22</f>
        <v>277900</v>
      </c>
      <c r="N23" s="70" t="n">
        <f aca="false">N19-N22</f>
        <v>274333.333333333</v>
      </c>
      <c r="O23" s="70" t="n">
        <f aca="false">O19-O22</f>
        <v>270766.666666667</v>
      </c>
      <c r="P23" s="70" t="n">
        <f aca="false">P19-P22</f>
        <v>267200</v>
      </c>
      <c r="Q23" s="70" t="n">
        <f aca="false">Q19-Q22</f>
        <v>263633.333333333</v>
      </c>
      <c r="R23" s="70" t="n">
        <f aca="false">R19-R22</f>
        <v>260066.666666667</v>
      </c>
      <c r="S23" s="70" t="n">
        <f aca="false">S19-S22</f>
        <v>256500</v>
      </c>
      <c r="T23" s="70" t="n">
        <f aca="false">T19-T22</f>
        <v>252933.333333333</v>
      </c>
      <c r="U23" s="70" t="n">
        <f aca="false">U19-U22</f>
        <v>249366.666666667</v>
      </c>
      <c r="V23" s="70" t="n">
        <f aca="false">V19-V22</f>
        <v>245800</v>
      </c>
      <c r="W23" s="70" t="n">
        <f aca="false">W19-W22</f>
        <v>242233.333333333</v>
      </c>
      <c r="X23" s="70" t="n">
        <f aca="false">X19-X22</f>
        <v>238666.666666667</v>
      </c>
      <c r="Y23" s="70" t="n">
        <f aca="false">Y19-Y22</f>
        <v>235100</v>
      </c>
      <c r="Z23" s="70" t="n">
        <f aca="false">Z19-Z22</f>
        <v>231533.333333334</v>
      </c>
      <c r="AA23" s="70" t="n">
        <f aca="false">AA19-AA22</f>
        <v>227966.666666667</v>
      </c>
      <c r="AB23" s="70" t="n">
        <f aca="false">AB19-AB22</f>
        <v>224400</v>
      </c>
    </row>
    <row r="24" customFormat="false" ht="15" hidden="false" customHeight="false" outlineLevel="0" collapsed="false">
      <c r="A24" s="23" t="s">
        <v>522</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customFormat="false" ht="15" hidden="false" customHeight="false" outlineLevel="0" collapsed="false">
      <c r="A25" s="29" t="s">
        <v>1428</v>
      </c>
      <c r="B25" s="60"/>
      <c r="C25" s="61" t="n">
        <f aca="false">SUM(E25:P25)</f>
        <v>41800</v>
      </c>
      <c r="D25" s="61" t="n">
        <f aca="false">SUM(Q25:AB25)</f>
        <v>42096</v>
      </c>
      <c r="E25" s="71" t="n">
        <f aca="false">E10+E18</f>
        <v>3100</v>
      </c>
      <c r="F25" s="71" t="n">
        <f aca="false">F10+F18</f>
        <v>1800</v>
      </c>
      <c r="G25" s="71" t="n">
        <f aca="false">G10+G18</f>
        <v>5200</v>
      </c>
      <c r="H25" s="71" t="n">
        <f aca="false">H10+H18</f>
        <v>2400</v>
      </c>
      <c r="I25" s="71" t="n">
        <f aca="false">I10+I18</f>
        <v>4100</v>
      </c>
      <c r="J25" s="71" t="n">
        <f aca="false">J10+J18</f>
        <v>2200</v>
      </c>
      <c r="K25" s="71" t="n">
        <f aca="false">K10+K18</f>
        <v>3900</v>
      </c>
      <c r="L25" s="71" t="n">
        <f aca="false">L10+L18</f>
        <v>1500</v>
      </c>
      <c r="M25" s="71" t="n">
        <f aca="false">M10+M18</f>
        <v>7400</v>
      </c>
      <c r="N25" s="71" t="n">
        <f aca="false">N10+N18</f>
        <v>5000</v>
      </c>
      <c r="O25" s="71" t="n">
        <f aca="false">O10+O18</f>
        <v>2600</v>
      </c>
      <c r="P25" s="71" t="n">
        <f aca="false">P10+P18</f>
        <v>2600</v>
      </c>
      <c r="Q25" s="71" t="n">
        <f aca="false">Q10+Q18</f>
        <v>6278</v>
      </c>
      <c r="R25" s="71" t="n">
        <f aca="false">R10+R18</f>
        <v>2678</v>
      </c>
      <c r="S25" s="71" t="n">
        <f aca="false">S10+S18</f>
        <v>2678</v>
      </c>
      <c r="T25" s="71" t="n">
        <f aca="false">T10+T18</f>
        <v>4238</v>
      </c>
      <c r="U25" s="71" t="n">
        <f aca="false">U10+U18</f>
        <v>2678</v>
      </c>
      <c r="V25" s="71" t="n">
        <f aca="false">V10+V18</f>
        <v>2678</v>
      </c>
      <c r="W25" s="71" t="n">
        <f aca="false">W10+W18</f>
        <v>2678</v>
      </c>
      <c r="X25" s="71" t="n">
        <f aca="false">X10+X18</f>
        <v>2678</v>
      </c>
      <c r="Y25" s="71" t="n">
        <f aca="false">Y10+Y18</f>
        <v>7478</v>
      </c>
      <c r="Z25" s="71" t="n">
        <f aca="false">Z10+Z18</f>
        <v>2678</v>
      </c>
      <c r="AA25" s="71" t="n">
        <f aca="false">AA10+AA18</f>
        <v>2678</v>
      </c>
      <c r="AB25" s="71" t="n">
        <f aca="false">AB10+AB18</f>
        <v>2678</v>
      </c>
    </row>
    <row r="26" customFormat="false" ht="15" hidden="false" customHeight="false" outlineLevel="0" collapsed="false">
      <c r="A26" s="29" t="s">
        <v>381</v>
      </c>
      <c r="B26" s="60"/>
      <c r="C26" s="61" t="n">
        <f aca="false">SUM(E26:P26)</f>
        <v>114080.555555556</v>
      </c>
      <c r="D26" s="61" t="n">
        <f aca="false">SUM(Q26:AB26)</f>
        <v>128659</v>
      </c>
      <c r="E26" s="71" t="n">
        <f aca="false">E13+E21</f>
        <v>8986.11111111111</v>
      </c>
      <c r="F26" s="71" t="n">
        <f aca="false">F13+F21</f>
        <v>9036.11111111111</v>
      </c>
      <c r="G26" s="71" t="n">
        <f aca="false">G13+G21</f>
        <v>9180.55555555556</v>
      </c>
      <c r="H26" s="71" t="n">
        <f aca="false">H13+H21</f>
        <v>9247.22222222222</v>
      </c>
      <c r="I26" s="71" t="n">
        <f aca="false">I13+I21</f>
        <v>9361.11111111111</v>
      </c>
      <c r="J26" s="71" t="n">
        <f aca="false">J13+J21</f>
        <v>9422.22222222222</v>
      </c>
      <c r="K26" s="71" t="n">
        <f aca="false">K13+K21</f>
        <v>9530.55555555556</v>
      </c>
      <c r="L26" s="71" t="n">
        <f aca="false">L13+L21</f>
        <v>9572.22222222222</v>
      </c>
      <c r="M26" s="71" t="n">
        <f aca="false">M13+M21</f>
        <v>9777.77777777778</v>
      </c>
      <c r="N26" s="71" t="n">
        <f aca="false">N13+N21</f>
        <v>9916.66666666667</v>
      </c>
      <c r="O26" s="71" t="n">
        <f aca="false">O13+O21</f>
        <v>9988.88888888889</v>
      </c>
      <c r="P26" s="71" t="n">
        <f aca="false">P13+P21</f>
        <v>10061.1111111111</v>
      </c>
      <c r="Q26" s="71" t="n">
        <f aca="false">Q13+Q21</f>
        <v>10235.5</v>
      </c>
      <c r="R26" s="71" t="n">
        <f aca="false">R13+R21</f>
        <v>10309.8888888889</v>
      </c>
      <c r="S26" s="71" t="n">
        <f aca="false">S13+S21</f>
        <v>10384.2777777778</v>
      </c>
      <c r="T26" s="71" t="n">
        <f aca="false">T13+T21</f>
        <v>10502</v>
      </c>
      <c r="U26" s="71" t="n">
        <f aca="false">U13+U21</f>
        <v>10576.3888888889</v>
      </c>
      <c r="V26" s="71" t="n">
        <f aca="false">V13+V21</f>
        <v>10650.7777777778</v>
      </c>
      <c r="W26" s="71" t="n">
        <f aca="false">W13+W21</f>
        <v>10725.1666666667</v>
      </c>
      <c r="X26" s="71" t="n">
        <f aca="false">X13+X21</f>
        <v>10799.5555555556</v>
      </c>
      <c r="Y26" s="71" t="n">
        <f aca="false">Y13+Y21</f>
        <v>11007.2777777778</v>
      </c>
      <c r="Z26" s="71" t="n">
        <f aca="false">Z13+Z21</f>
        <v>11081.6666666667</v>
      </c>
      <c r="AA26" s="71" t="n">
        <f aca="false">AA13+AA21</f>
        <v>11156.0555555556</v>
      </c>
      <c r="AB26" s="71" t="n">
        <f aca="false">AB13+AB21</f>
        <v>11230.4444444444</v>
      </c>
    </row>
    <row r="27" customFormat="false" ht="15" hidden="false" customHeight="false" outlineLevel="0" collapsed="false">
      <c r="A27" s="68" t="s">
        <v>1496</v>
      </c>
      <c r="B27" s="69"/>
      <c r="C27" s="70" t="n">
        <f aca="false">P27</f>
        <v>321719.444444445</v>
      </c>
      <c r="D27" s="70" t="n">
        <f aca="false">AB27</f>
        <v>235156.444444445</v>
      </c>
      <c r="E27" s="70" t="n">
        <f aca="false">E15+E23</f>
        <v>388113.888888889</v>
      </c>
      <c r="F27" s="70" t="n">
        <f aca="false">F15+F23</f>
        <v>380877.777777778</v>
      </c>
      <c r="G27" s="70" t="n">
        <f aca="false">G15+G23</f>
        <v>376897.222222222</v>
      </c>
      <c r="H27" s="70" t="n">
        <f aca="false">H15+H23</f>
        <v>370050</v>
      </c>
      <c r="I27" s="70" t="n">
        <f aca="false">I15+I23</f>
        <v>364788.888888889</v>
      </c>
      <c r="J27" s="70" t="n">
        <f aca="false">J15+J23</f>
        <v>357566.666666667</v>
      </c>
      <c r="K27" s="70" t="n">
        <f aca="false">K15+K23</f>
        <v>351936.111111111</v>
      </c>
      <c r="L27" s="70" t="n">
        <f aca="false">L15+L23</f>
        <v>343863.888888889</v>
      </c>
      <c r="M27" s="70" t="n">
        <f aca="false">M15+M23</f>
        <v>341486.111111111</v>
      </c>
      <c r="N27" s="70" t="n">
        <f aca="false">N15+N23</f>
        <v>336569.444444445</v>
      </c>
      <c r="O27" s="70" t="n">
        <f aca="false">O15+O23</f>
        <v>329180.555555556</v>
      </c>
      <c r="P27" s="70" t="n">
        <f aca="false">P15+P23</f>
        <v>321719.444444445</v>
      </c>
      <c r="Q27" s="70" t="n">
        <f aca="false">Q15+Q23</f>
        <v>317761.944444445</v>
      </c>
      <c r="R27" s="70" t="n">
        <f aca="false">R15+R23</f>
        <v>310130.055555556</v>
      </c>
      <c r="S27" s="70" t="n">
        <f aca="false">S15+S23</f>
        <v>302423.777777778</v>
      </c>
      <c r="T27" s="70" t="n">
        <f aca="false">T15+T23</f>
        <v>296159.777777778</v>
      </c>
      <c r="U27" s="70" t="n">
        <f aca="false">U15+U23</f>
        <v>288261.388888889</v>
      </c>
      <c r="V27" s="70" t="n">
        <f aca="false">V15+V23</f>
        <v>280288.611111111</v>
      </c>
      <c r="W27" s="70" t="n">
        <f aca="false">W15+W23</f>
        <v>272241.444444445</v>
      </c>
      <c r="X27" s="70" t="n">
        <f aca="false">X15+X23</f>
        <v>264119.888888889</v>
      </c>
      <c r="Y27" s="70" t="n">
        <f aca="false">Y15+Y23</f>
        <v>260590.611111111</v>
      </c>
      <c r="Z27" s="70" t="n">
        <f aca="false">Z15+Z23</f>
        <v>252186.944444445</v>
      </c>
      <c r="AA27" s="70" t="n">
        <f aca="false">AA15+AA23</f>
        <v>243708.888888889</v>
      </c>
      <c r="AB27" s="70" t="n">
        <f aca="false">AB15+AB23</f>
        <v>235156.444444445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1497</v>
      </c>
    </row>
    <row r="3" customFormat="false" ht="15" hidden="false" customHeight="false" outlineLevel="0" collapsed="false">
      <c r="A3" s="51" t="s">
        <v>1498</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1499</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1409</v>
      </c>
      <c r="B9" s="60"/>
      <c r="E9" s="62" t="n">
        <f aca="false">Inputs_Actuals!$C$212</f>
        <v>166667</v>
      </c>
      <c r="F9" s="71" t="n">
        <f aca="false">E11</f>
        <v>162500</v>
      </c>
      <c r="G9" s="71" t="n">
        <f aca="false">F11</f>
        <v>158333</v>
      </c>
      <c r="H9" s="71" t="n">
        <f aca="false">G11</f>
        <v>154166</v>
      </c>
      <c r="I9" s="71" t="n">
        <f aca="false">H11</f>
        <v>149999</v>
      </c>
      <c r="J9" s="71" t="n">
        <f aca="false">I11</f>
        <v>145832</v>
      </c>
      <c r="K9" s="71" t="n">
        <f aca="false">J11</f>
        <v>141665</v>
      </c>
      <c r="L9" s="71" t="n">
        <f aca="false">K11</f>
        <v>137498</v>
      </c>
      <c r="M9" s="71" t="n">
        <f aca="false">L11</f>
        <v>133331</v>
      </c>
      <c r="N9" s="71" t="n">
        <f aca="false">M11</f>
        <v>129164</v>
      </c>
      <c r="O9" s="71" t="n">
        <f aca="false">N11</f>
        <v>124997</v>
      </c>
      <c r="P9" s="71" t="n">
        <f aca="false">O11</f>
        <v>120830</v>
      </c>
      <c r="Q9" s="71" t="n">
        <f aca="false">P11</f>
        <v>116663</v>
      </c>
      <c r="R9" s="71" t="n">
        <f aca="false">Q11</f>
        <v>112496</v>
      </c>
      <c r="S9" s="71" t="n">
        <f aca="false">R11</f>
        <v>108329</v>
      </c>
      <c r="T9" s="71" t="n">
        <f aca="false">S11</f>
        <v>104162</v>
      </c>
      <c r="U9" s="71" t="n">
        <f aca="false">T11</f>
        <v>99995</v>
      </c>
      <c r="V9" s="71" t="n">
        <f aca="false">U11</f>
        <v>95828</v>
      </c>
      <c r="W9" s="71" t="n">
        <f aca="false">V11</f>
        <v>91661</v>
      </c>
      <c r="X9" s="71" t="n">
        <f aca="false">W11</f>
        <v>87494</v>
      </c>
      <c r="Y9" s="71" t="n">
        <f aca="false">X11</f>
        <v>83327</v>
      </c>
      <c r="Z9" s="71" t="n">
        <f aca="false">Y11</f>
        <v>79160</v>
      </c>
      <c r="AA9" s="71" t="n">
        <f aca="false">Z11</f>
        <v>74993</v>
      </c>
      <c r="AB9" s="71" t="n">
        <f aca="false">AA11</f>
        <v>70826</v>
      </c>
    </row>
    <row r="10" customFormat="false" ht="15" hidden="false" customHeight="false" outlineLevel="0" collapsed="false">
      <c r="A10" s="29" t="s">
        <v>1500</v>
      </c>
      <c r="B10" s="60" t="s">
        <v>1501</v>
      </c>
      <c r="C10" s="61" t="n">
        <f aca="false">SUM(E10:P10)</f>
        <v>-50004</v>
      </c>
      <c r="D10" s="61" t="n">
        <f aca="false">SUM(Q10:AB10)</f>
        <v>-50004</v>
      </c>
      <c r="E10" s="62" t="n">
        <f aca="false">-MIN(E9,Assumptions!$C$160)</f>
        <v>-4167</v>
      </c>
      <c r="F10" s="62" t="n">
        <f aca="false">-MIN(F9,Assumptions!$C$160)</f>
        <v>-4167</v>
      </c>
      <c r="G10" s="62" t="n">
        <f aca="false">-MIN(G9,Assumptions!$C$160)</f>
        <v>-4167</v>
      </c>
      <c r="H10" s="62" t="n">
        <f aca="false">-MIN(H9,Assumptions!$C$160)</f>
        <v>-4167</v>
      </c>
      <c r="I10" s="62" t="n">
        <f aca="false">-MIN(I9,Assumptions!$C$160)</f>
        <v>-4167</v>
      </c>
      <c r="J10" s="62" t="n">
        <f aca="false">-MIN(J9,Assumptions!$C$160)</f>
        <v>-4167</v>
      </c>
      <c r="K10" s="62" t="n">
        <f aca="false">-MIN(K9,Assumptions!$C$160)</f>
        <v>-4167</v>
      </c>
      <c r="L10" s="62" t="n">
        <f aca="false">-MIN(L9,Assumptions!$C$160)</f>
        <v>-4167</v>
      </c>
      <c r="M10" s="62" t="n">
        <f aca="false">-MIN(M9,Assumptions!$C$160)</f>
        <v>-4167</v>
      </c>
      <c r="N10" s="62" t="n">
        <f aca="false">-MIN(N9,Assumptions!$C$160)</f>
        <v>-4167</v>
      </c>
      <c r="O10" s="62" t="n">
        <f aca="false">-MIN(O9,Assumptions!$C$160)</f>
        <v>-4167</v>
      </c>
      <c r="P10" s="62" t="n">
        <f aca="false">-MIN(P9,Assumptions!$C$160)</f>
        <v>-4167</v>
      </c>
      <c r="Q10" s="62" t="n">
        <f aca="false">-MIN(Q9,Assumptions!$C$160)</f>
        <v>-4167</v>
      </c>
      <c r="R10" s="62" t="n">
        <f aca="false">-MIN(R9,Assumptions!$C$160)</f>
        <v>-4167</v>
      </c>
      <c r="S10" s="62" t="n">
        <f aca="false">-MIN(S9,Assumptions!$C$160)</f>
        <v>-4167</v>
      </c>
      <c r="T10" s="62" t="n">
        <f aca="false">-MIN(T9,Assumptions!$C$160)</f>
        <v>-4167</v>
      </c>
      <c r="U10" s="62" t="n">
        <f aca="false">-MIN(U9,Assumptions!$C$160)</f>
        <v>-4167</v>
      </c>
      <c r="V10" s="62" t="n">
        <f aca="false">-MIN(V9,Assumptions!$C$160)</f>
        <v>-4167</v>
      </c>
      <c r="W10" s="62" t="n">
        <f aca="false">-MIN(W9,Assumptions!$C$160)</f>
        <v>-4167</v>
      </c>
      <c r="X10" s="62" t="n">
        <f aca="false">-MIN(X9,Assumptions!$C$160)</f>
        <v>-4167</v>
      </c>
      <c r="Y10" s="62" t="n">
        <f aca="false">-MIN(Y9,Assumptions!$C$160)</f>
        <v>-4167</v>
      </c>
      <c r="Z10" s="62" t="n">
        <f aca="false">-MIN(Z9,Assumptions!$C$160)</f>
        <v>-4167</v>
      </c>
      <c r="AA10" s="62" t="n">
        <f aca="false">-MIN(AA9,Assumptions!$C$160)</f>
        <v>-4167</v>
      </c>
      <c r="AB10" s="62" t="n">
        <f aca="false">-MIN(AB9,Assumptions!$C$160)</f>
        <v>-4167</v>
      </c>
    </row>
    <row r="11" customFormat="false" ht="15" hidden="false" customHeight="false" outlineLevel="0" collapsed="false">
      <c r="A11" s="68" t="s">
        <v>1499</v>
      </c>
      <c r="B11" s="69"/>
      <c r="C11" s="70" t="n">
        <f aca="false">P11</f>
        <v>116663</v>
      </c>
      <c r="D11" s="70" t="n">
        <f aca="false">AB11</f>
        <v>66659</v>
      </c>
      <c r="E11" s="70" t="n">
        <f aca="false">E9+E10</f>
        <v>162500</v>
      </c>
      <c r="F11" s="70" t="n">
        <f aca="false">F9+F10</f>
        <v>158333</v>
      </c>
      <c r="G11" s="70" t="n">
        <f aca="false">G9+G10</f>
        <v>154166</v>
      </c>
      <c r="H11" s="70" t="n">
        <f aca="false">H9+H10</f>
        <v>149999</v>
      </c>
      <c r="I11" s="70" t="n">
        <f aca="false">I9+I10</f>
        <v>145832</v>
      </c>
      <c r="J11" s="70" t="n">
        <f aca="false">J9+J10</f>
        <v>141665</v>
      </c>
      <c r="K11" s="70" t="n">
        <f aca="false">K9+K10</f>
        <v>137498</v>
      </c>
      <c r="L11" s="70" t="n">
        <f aca="false">L9+L10</f>
        <v>133331</v>
      </c>
      <c r="M11" s="70" t="n">
        <f aca="false">M9+M10</f>
        <v>129164</v>
      </c>
      <c r="N11" s="70" t="n">
        <f aca="false">N9+N10</f>
        <v>124997</v>
      </c>
      <c r="O11" s="70" t="n">
        <f aca="false">O9+O10</f>
        <v>120830</v>
      </c>
      <c r="P11" s="70" t="n">
        <f aca="false">P9+P10</f>
        <v>116663</v>
      </c>
      <c r="Q11" s="70" t="n">
        <f aca="false">Q9+Q10</f>
        <v>112496</v>
      </c>
      <c r="R11" s="70" t="n">
        <f aca="false">R9+R10</f>
        <v>108329</v>
      </c>
      <c r="S11" s="70" t="n">
        <f aca="false">S9+S10</f>
        <v>104162</v>
      </c>
      <c r="T11" s="70" t="n">
        <f aca="false">T9+T10</f>
        <v>99995</v>
      </c>
      <c r="U11" s="70" t="n">
        <f aca="false">U9+U10</f>
        <v>95828</v>
      </c>
      <c r="V11" s="70" t="n">
        <f aca="false">V9+V10</f>
        <v>91661</v>
      </c>
      <c r="W11" s="70" t="n">
        <f aca="false">W9+W10</f>
        <v>87494</v>
      </c>
      <c r="X11" s="70" t="n">
        <f aca="false">X9+X10</f>
        <v>83327</v>
      </c>
      <c r="Y11" s="70" t="n">
        <f aca="false">Y9+Y10</f>
        <v>79160</v>
      </c>
      <c r="Z11" s="70" t="n">
        <f aca="false">Z9+Z10</f>
        <v>74993</v>
      </c>
      <c r="AA11" s="70" t="n">
        <f aca="false">AA9+AA10</f>
        <v>70826</v>
      </c>
      <c r="AB11" s="70" t="n">
        <f aca="false">AB9+AB10</f>
        <v>66659</v>
      </c>
    </row>
    <row r="12" customFormat="false" ht="15" hidden="false" customHeight="false" outlineLevel="0" collapsed="false">
      <c r="A12" s="29" t="s">
        <v>1502</v>
      </c>
      <c r="B12" s="60" t="s">
        <v>1503</v>
      </c>
      <c r="C12" s="61" t="n">
        <f aca="false">SUM(E12:P12)</f>
        <v>6037.437</v>
      </c>
      <c r="D12" s="61" t="n">
        <f aca="false">SUM(Q12:AB12)</f>
        <v>3937.269</v>
      </c>
      <c r="E12" s="62" t="n">
        <f aca="false">E9*Assumptions!$C$159/12</f>
        <v>583.3345</v>
      </c>
      <c r="F12" s="62" t="n">
        <f aca="false">F9*Assumptions!$C$159/12</f>
        <v>568.75</v>
      </c>
      <c r="G12" s="62" t="n">
        <f aca="false">G9*Assumptions!$C$159/12</f>
        <v>554.1655</v>
      </c>
      <c r="H12" s="62" t="n">
        <f aca="false">H9*Assumptions!$C$159/12</f>
        <v>539.581</v>
      </c>
      <c r="I12" s="62" t="n">
        <f aca="false">I9*Assumptions!$C$159/12</f>
        <v>524.9965</v>
      </c>
      <c r="J12" s="62" t="n">
        <f aca="false">J9*Assumptions!$C$159/12</f>
        <v>510.412</v>
      </c>
      <c r="K12" s="62" t="n">
        <f aca="false">K9*Assumptions!$C$159/12</f>
        <v>495.8275</v>
      </c>
      <c r="L12" s="62" t="n">
        <f aca="false">L9*Assumptions!$C$159/12</f>
        <v>481.243</v>
      </c>
      <c r="M12" s="62" t="n">
        <f aca="false">M9*Assumptions!$C$159/12</f>
        <v>466.6585</v>
      </c>
      <c r="N12" s="62" t="n">
        <f aca="false">N9*Assumptions!$C$159/12</f>
        <v>452.074</v>
      </c>
      <c r="O12" s="62" t="n">
        <f aca="false">O9*Assumptions!$C$159/12</f>
        <v>437.4895</v>
      </c>
      <c r="P12" s="62" t="n">
        <f aca="false">P9*Assumptions!$C$159/12</f>
        <v>422.905</v>
      </c>
      <c r="Q12" s="62" t="n">
        <f aca="false">Q9*Assumptions!$C$159/12</f>
        <v>408.3205</v>
      </c>
      <c r="R12" s="62" t="n">
        <f aca="false">R9*Assumptions!$C$159/12</f>
        <v>393.736</v>
      </c>
      <c r="S12" s="62" t="n">
        <f aca="false">S9*Assumptions!$C$159/12</f>
        <v>379.1515</v>
      </c>
      <c r="T12" s="62" t="n">
        <f aca="false">T9*Assumptions!$C$159/12</f>
        <v>364.567</v>
      </c>
      <c r="U12" s="62" t="n">
        <f aca="false">U9*Assumptions!$C$159/12</f>
        <v>349.9825</v>
      </c>
      <c r="V12" s="62" t="n">
        <f aca="false">V9*Assumptions!$C$159/12</f>
        <v>335.398</v>
      </c>
      <c r="W12" s="62" t="n">
        <f aca="false">W9*Assumptions!$C$159/12</f>
        <v>320.8135</v>
      </c>
      <c r="X12" s="62" t="n">
        <f aca="false">X9*Assumptions!$C$159/12</f>
        <v>306.229</v>
      </c>
      <c r="Y12" s="62" t="n">
        <f aca="false">Y9*Assumptions!$C$159/12</f>
        <v>291.6445</v>
      </c>
      <c r="Z12" s="62" t="n">
        <f aca="false">Z9*Assumptions!$C$159/12</f>
        <v>277.06</v>
      </c>
      <c r="AA12" s="62" t="n">
        <f aca="false">AA9*Assumptions!$C$159/12</f>
        <v>262.4755</v>
      </c>
      <c r="AB12" s="62" t="n">
        <f aca="false">AB9*Assumptions!$C$159/12</f>
        <v>247.891</v>
      </c>
    </row>
    <row r="13" customFormat="false" ht="15" hidden="false" customHeight="false" outlineLevel="0" collapsed="false">
      <c r="A13" s="29" t="s">
        <v>1504</v>
      </c>
      <c r="B13" s="60" t="s">
        <v>1505</v>
      </c>
      <c r="C13" s="61" t="n">
        <f aca="false">SUM(E13:P13)</f>
        <v>0</v>
      </c>
      <c r="D13" s="61" t="n">
        <f aca="false">SUM(Q13:AB13)</f>
        <v>0</v>
      </c>
      <c r="E13" s="62" t="n">
        <f aca="false">MAX(0,-Inputs_Actuals!$C$198)*Assumptions!$C$161/12</f>
        <v>0</v>
      </c>
      <c r="F13" s="62" t="n">
        <f aca="false">MAX(0,-BS!E9)*Assumptions!$C$161/12</f>
        <v>0</v>
      </c>
      <c r="G13" s="62" t="n">
        <f aca="false">MAX(0,-BS!F9)*Assumptions!$C$161/12</f>
        <v>0</v>
      </c>
      <c r="H13" s="62" t="n">
        <f aca="false">MAX(0,-BS!G9)*Assumptions!$C$161/12</f>
        <v>0</v>
      </c>
      <c r="I13" s="62" t="n">
        <f aca="false">MAX(0,-BS!H9)*Assumptions!$C$161/12</f>
        <v>0</v>
      </c>
      <c r="J13" s="62" t="n">
        <f aca="false">MAX(0,-BS!I9)*Assumptions!$C$161/12</f>
        <v>0</v>
      </c>
      <c r="K13" s="62" t="n">
        <f aca="false">MAX(0,-BS!J9)*Assumptions!$C$161/12</f>
        <v>0</v>
      </c>
      <c r="L13" s="62" t="n">
        <f aca="false">MAX(0,-BS!K9)*Assumptions!$C$161/12</f>
        <v>0</v>
      </c>
      <c r="M13" s="62" t="n">
        <f aca="false">MAX(0,-BS!L9)*Assumptions!$C$161/12</f>
        <v>0</v>
      </c>
      <c r="N13" s="62" t="n">
        <f aca="false">MAX(0,-BS!M9)*Assumptions!$C$161/12</f>
        <v>0</v>
      </c>
      <c r="O13" s="62" t="n">
        <f aca="false">MAX(0,-BS!N9)*Assumptions!$C$161/12</f>
        <v>0</v>
      </c>
      <c r="P13" s="62" t="n">
        <f aca="false">MAX(0,-BS!O9)*Assumptions!$C$161/12</f>
        <v>0</v>
      </c>
      <c r="Q13" s="62" t="n">
        <f aca="false">MAX(0,-BS!P9)*Assumptions!$C$161/12</f>
        <v>0</v>
      </c>
      <c r="R13" s="62" t="n">
        <f aca="false">MAX(0,-BS!Q9)*Assumptions!$C$161/12</f>
        <v>0</v>
      </c>
      <c r="S13" s="62" t="n">
        <f aca="false">MAX(0,-BS!R9)*Assumptions!$C$161/12</f>
        <v>0</v>
      </c>
      <c r="T13" s="62" t="n">
        <f aca="false">MAX(0,-BS!S9)*Assumptions!$C$161/12</f>
        <v>0</v>
      </c>
      <c r="U13" s="62" t="n">
        <f aca="false">MAX(0,-BS!T9)*Assumptions!$C$161/12</f>
        <v>0</v>
      </c>
      <c r="V13" s="62" t="n">
        <f aca="false">MAX(0,-BS!U9)*Assumptions!$C$161/12</f>
        <v>0</v>
      </c>
      <c r="W13" s="62" t="n">
        <f aca="false">MAX(0,-BS!V9)*Assumptions!$C$161/12</f>
        <v>0</v>
      </c>
      <c r="X13" s="62" t="n">
        <f aca="false">MAX(0,-BS!W9)*Assumptions!$C$161/12</f>
        <v>0</v>
      </c>
      <c r="Y13" s="62" t="n">
        <f aca="false">MAX(0,-BS!X9)*Assumptions!$C$161/12</f>
        <v>0</v>
      </c>
      <c r="Z13" s="62" t="n">
        <f aca="false">MAX(0,-BS!Y9)*Assumptions!$C$161/12</f>
        <v>0</v>
      </c>
      <c r="AA13" s="62" t="n">
        <f aca="false">MAX(0,-BS!Z9)*Assumptions!$C$161/12</f>
        <v>0</v>
      </c>
      <c r="AB13" s="62" t="n">
        <f aca="false">MAX(0,-BS!AA9)*Assumptions!$C$161/12</f>
        <v>0</v>
      </c>
    </row>
    <row r="14" customFormat="false" ht="15" hidden="false" customHeight="false" outlineLevel="0" collapsed="false">
      <c r="A14" s="29" t="s">
        <v>1506</v>
      </c>
      <c r="B14" s="60"/>
      <c r="C14" s="61" t="n">
        <f aca="false">P14</f>
        <v>50004</v>
      </c>
      <c r="D14" s="61" t="n">
        <f aca="false">AB14</f>
        <v>50004</v>
      </c>
      <c r="E14" s="62" t="n">
        <f aca="false">MIN(E11,12*Assumptions!$C$160)</f>
        <v>50004</v>
      </c>
      <c r="F14" s="62" t="n">
        <f aca="false">MIN(F11,12*Assumptions!$C$160)</f>
        <v>50004</v>
      </c>
      <c r="G14" s="62" t="n">
        <f aca="false">MIN(G11,12*Assumptions!$C$160)</f>
        <v>50004</v>
      </c>
      <c r="H14" s="62" t="n">
        <f aca="false">MIN(H11,12*Assumptions!$C$160)</f>
        <v>50004</v>
      </c>
      <c r="I14" s="62" t="n">
        <f aca="false">MIN(I11,12*Assumptions!$C$160)</f>
        <v>50004</v>
      </c>
      <c r="J14" s="62" t="n">
        <f aca="false">MIN(J11,12*Assumptions!$C$160)</f>
        <v>50004</v>
      </c>
      <c r="K14" s="62" t="n">
        <f aca="false">MIN(K11,12*Assumptions!$C$160)</f>
        <v>50004</v>
      </c>
      <c r="L14" s="62" t="n">
        <f aca="false">MIN(L11,12*Assumptions!$C$160)</f>
        <v>50004</v>
      </c>
      <c r="M14" s="62" t="n">
        <f aca="false">MIN(M11,12*Assumptions!$C$160)</f>
        <v>50004</v>
      </c>
      <c r="N14" s="62" t="n">
        <f aca="false">MIN(N11,12*Assumptions!$C$160)</f>
        <v>50004</v>
      </c>
      <c r="O14" s="62" t="n">
        <f aca="false">MIN(O11,12*Assumptions!$C$160)</f>
        <v>50004</v>
      </c>
      <c r="P14" s="62" t="n">
        <f aca="false">MIN(P11,12*Assumptions!$C$160)</f>
        <v>50004</v>
      </c>
      <c r="Q14" s="62" t="n">
        <f aca="false">MIN(Q11,12*Assumptions!$C$160)</f>
        <v>50004</v>
      </c>
      <c r="R14" s="62" t="n">
        <f aca="false">MIN(R11,12*Assumptions!$C$160)</f>
        <v>50004</v>
      </c>
      <c r="S14" s="62" t="n">
        <f aca="false">MIN(S11,12*Assumptions!$C$160)</f>
        <v>50004</v>
      </c>
      <c r="T14" s="62" t="n">
        <f aca="false">MIN(T11,12*Assumptions!$C$160)</f>
        <v>50004</v>
      </c>
      <c r="U14" s="62" t="n">
        <f aca="false">MIN(U11,12*Assumptions!$C$160)</f>
        <v>50004</v>
      </c>
      <c r="V14" s="62" t="n">
        <f aca="false">MIN(V11,12*Assumptions!$C$160)</f>
        <v>50004</v>
      </c>
      <c r="W14" s="62" t="n">
        <f aca="false">MIN(W11,12*Assumptions!$C$160)</f>
        <v>50004</v>
      </c>
      <c r="X14" s="62" t="n">
        <f aca="false">MIN(X11,12*Assumptions!$C$160)</f>
        <v>50004</v>
      </c>
      <c r="Y14" s="62" t="n">
        <f aca="false">MIN(Y11,12*Assumptions!$C$160)</f>
        <v>50004</v>
      </c>
      <c r="Z14" s="62" t="n">
        <f aca="false">MIN(Z11,12*Assumptions!$C$160)</f>
        <v>50004</v>
      </c>
      <c r="AA14" s="62" t="n">
        <f aca="false">MIN(AA11,12*Assumptions!$C$160)</f>
        <v>50004</v>
      </c>
      <c r="AB14" s="62" t="n">
        <f aca="false">MIN(AB11,12*Assumptions!$C$160)</f>
        <v>50004</v>
      </c>
    </row>
    <row r="15" customFormat="false" ht="15" hidden="false" customHeight="false" outlineLevel="0" collapsed="false">
      <c r="A15" s="29" t="s">
        <v>1507</v>
      </c>
      <c r="B15" s="60"/>
      <c r="C15" s="61" t="n">
        <f aca="false">P15</f>
        <v>66659</v>
      </c>
      <c r="D15" s="61" t="n">
        <f aca="false">AB15</f>
        <v>16655</v>
      </c>
      <c r="E15" s="71" t="n">
        <f aca="false">E11-E14</f>
        <v>112496</v>
      </c>
      <c r="F15" s="71" t="n">
        <f aca="false">F11-F14</f>
        <v>108329</v>
      </c>
      <c r="G15" s="71" t="n">
        <f aca="false">G11-G14</f>
        <v>104162</v>
      </c>
      <c r="H15" s="71" t="n">
        <f aca="false">H11-H14</f>
        <v>99995</v>
      </c>
      <c r="I15" s="71" t="n">
        <f aca="false">I11-I14</f>
        <v>95828</v>
      </c>
      <c r="J15" s="71" t="n">
        <f aca="false">J11-J14</f>
        <v>91661</v>
      </c>
      <c r="K15" s="71" t="n">
        <f aca="false">K11-K14</f>
        <v>87494</v>
      </c>
      <c r="L15" s="71" t="n">
        <f aca="false">L11-L14</f>
        <v>83327</v>
      </c>
      <c r="M15" s="71" t="n">
        <f aca="false">M11-M14</f>
        <v>79160</v>
      </c>
      <c r="N15" s="71" t="n">
        <f aca="false">N11-N14</f>
        <v>74993</v>
      </c>
      <c r="O15" s="71" t="n">
        <f aca="false">O11-O14</f>
        <v>70826</v>
      </c>
      <c r="P15" s="71" t="n">
        <f aca="false">P11-P14</f>
        <v>66659</v>
      </c>
      <c r="Q15" s="71" t="n">
        <f aca="false">Q11-Q14</f>
        <v>62492</v>
      </c>
      <c r="R15" s="71" t="n">
        <f aca="false">R11-R14</f>
        <v>58325</v>
      </c>
      <c r="S15" s="71" t="n">
        <f aca="false">S11-S14</f>
        <v>54158</v>
      </c>
      <c r="T15" s="71" t="n">
        <f aca="false">T11-T14</f>
        <v>49991</v>
      </c>
      <c r="U15" s="71" t="n">
        <f aca="false">U11-U14</f>
        <v>45824</v>
      </c>
      <c r="V15" s="71" t="n">
        <f aca="false">V11-V14</f>
        <v>41657</v>
      </c>
      <c r="W15" s="71" t="n">
        <f aca="false">W11-W14</f>
        <v>37490</v>
      </c>
      <c r="X15" s="71" t="n">
        <f aca="false">X11-X14</f>
        <v>33323</v>
      </c>
      <c r="Y15" s="71" t="n">
        <f aca="false">Y11-Y14</f>
        <v>29156</v>
      </c>
      <c r="Z15" s="71" t="n">
        <f aca="false">Z11-Z14</f>
        <v>24989</v>
      </c>
      <c r="AA15" s="71" t="n">
        <f aca="false">AA11-AA14</f>
        <v>20822</v>
      </c>
      <c r="AB15" s="71" t="n">
        <f aca="false">AB11-AB14</f>
        <v>16655</v>
      </c>
    </row>
    <row r="16" customFormat="false" ht="15" hidden="false" customHeight="false" outlineLevel="0" collapsed="false">
      <c r="A16" s="23" t="s">
        <v>1508</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row>
    <row r="17" customFormat="false" ht="15" hidden="false" customHeight="false" outlineLevel="0" collapsed="false">
      <c r="A17" s="29" t="s">
        <v>1509</v>
      </c>
      <c r="B17" s="60" t="s">
        <v>1510</v>
      </c>
      <c r="C17" s="61" t="n">
        <f aca="false">SUM(E17:P17)</f>
        <v>450000</v>
      </c>
      <c r="D17" s="61" t="n">
        <f aca="false">SUM(Q17:AB17)</f>
        <v>317322.210560669</v>
      </c>
      <c r="E17" s="62" t="n">
        <f aca="false">Inputs_Actuals!E196</f>
        <v>0</v>
      </c>
      <c r="F17" s="62" t="n">
        <f aca="false">Inputs_Actuals!F196</f>
        <v>0</v>
      </c>
      <c r="G17" s="62" t="n">
        <f aca="false">Inputs_Actuals!G196</f>
        <v>0</v>
      </c>
      <c r="H17" s="62" t="n">
        <f aca="false">Inputs_Actuals!H196</f>
        <v>0</v>
      </c>
      <c r="I17" s="62" t="n">
        <f aca="false">Inputs_Actuals!I196</f>
        <v>0</v>
      </c>
      <c r="J17" s="62" t="n">
        <f aca="false">Inputs_Actuals!J196</f>
        <v>450000</v>
      </c>
      <c r="K17" s="62" t="n">
        <f aca="false">Inputs_Actuals!K196</f>
        <v>0</v>
      </c>
      <c r="L17" s="62" t="n">
        <f aca="false">Inputs_Actuals!L196</f>
        <v>0</v>
      </c>
      <c r="M17" s="71" t="n">
        <f aca="false">0</f>
        <v>0</v>
      </c>
      <c r="N17" s="71" t="n">
        <f aca="false">0</f>
        <v>0</v>
      </c>
      <c r="O17" s="71" t="n">
        <f aca="false">0</f>
        <v>0</v>
      </c>
      <c r="P17" s="71" t="n">
        <f aca="false">0</f>
        <v>0</v>
      </c>
      <c r="Q17" s="62" t="n">
        <f aca="false">IF(Assumptions!Q$186=Assumptions!$C$162,MAX(0,Assumptions!$F$183*PL!$C$51),0)</f>
        <v>0</v>
      </c>
      <c r="R17" s="62" t="n">
        <f aca="false">IF(Assumptions!R$186=Assumptions!$C$162,MAX(0,Assumptions!$F$183*PL!$C$51),0)</f>
        <v>0</v>
      </c>
      <c r="S17" s="62" t="n">
        <f aca="false">IF(Assumptions!S$186=Assumptions!$C$162,MAX(0,Assumptions!$F$183*PL!$C$51),0)</f>
        <v>0</v>
      </c>
      <c r="T17" s="62" t="n">
        <f aca="false">IF(Assumptions!T$186=Assumptions!$C$162,MAX(0,Assumptions!$F$183*PL!$C$51),0)</f>
        <v>0</v>
      </c>
      <c r="U17" s="62" t="n">
        <f aca="false">IF(Assumptions!U$186=Assumptions!$C$162,MAX(0,Assumptions!$F$183*PL!$C$51),0)</f>
        <v>0</v>
      </c>
      <c r="V17" s="62" t="n">
        <f aca="false">IF(Assumptions!V$186=Assumptions!$C$162,MAX(0,Assumptions!$F$183*PL!$C$51),0)</f>
        <v>317322.210560669</v>
      </c>
      <c r="W17" s="62" t="n">
        <f aca="false">IF(Assumptions!W$186=Assumptions!$C$162,MAX(0,Assumptions!$F$183*PL!$C$51),0)</f>
        <v>0</v>
      </c>
      <c r="X17" s="62" t="n">
        <f aca="false">IF(Assumptions!X$186=Assumptions!$C$162,MAX(0,Assumptions!$F$183*PL!$C$51),0)</f>
        <v>0</v>
      </c>
      <c r="Y17" s="62" t="n">
        <f aca="false">IF(Assumptions!Y$186=Assumptions!$C$162,MAX(0,Assumptions!$F$183*PL!$C$51),0)</f>
        <v>0</v>
      </c>
      <c r="Z17" s="62" t="n">
        <f aca="false">IF(Assumptions!Z$186=Assumptions!$C$162,MAX(0,Assumptions!$F$183*PL!$C$51),0)</f>
        <v>0</v>
      </c>
      <c r="AA17" s="62" t="n">
        <f aca="false">IF(Assumptions!AA$186=Assumptions!$C$162,MAX(0,Assumptions!$F$183*PL!$C$51),0)</f>
        <v>0</v>
      </c>
      <c r="AB17" s="62" t="n">
        <f aca="false">IF(Assumptions!AB$186=Assumptions!$C$162,MAX(0,Assumptions!$F$183*PL!$C$51),0)</f>
        <v>0</v>
      </c>
    </row>
    <row r="18" customFormat="false" ht="15" hidden="false" customHeight="false" outlineLevel="0" collapsed="false">
      <c r="A18" s="29" t="s">
        <v>1511</v>
      </c>
      <c r="B18" s="60" t="s">
        <v>1512</v>
      </c>
      <c r="C18" s="61" t="n">
        <f aca="false">SUM(E18:P18)</f>
        <v>118687.5</v>
      </c>
      <c r="D18" s="61" t="n">
        <f aca="false">SUM(Q18:AB18)</f>
        <v>83693.7330353764</v>
      </c>
      <c r="E18" s="62" t="n">
        <f aca="false">E17*Assumptions!$C$34</f>
        <v>0</v>
      </c>
      <c r="F18" s="62" t="n">
        <f aca="false">F17*Assumptions!$C$34</f>
        <v>0</v>
      </c>
      <c r="G18" s="62" t="n">
        <f aca="false">G17*Assumptions!$C$34</f>
        <v>0</v>
      </c>
      <c r="H18" s="62" t="n">
        <f aca="false">H17*Assumptions!$C$34</f>
        <v>0</v>
      </c>
      <c r="I18" s="62" t="n">
        <f aca="false">I17*Assumptions!$C$34</f>
        <v>0</v>
      </c>
      <c r="J18" s="62" t="n">
        <f aca="false">J17*Assumptions!$C$34</f>
        <v>118687.5</v>
      </c>
      <c r="K18" s="62" t="n">
        <f aca="false">K17*Assumptions!$C$34</f>
        <v>0</v>
      </c>
      <c r="L18" s="62" t="n">
        <f aca="false">L17*Assumptions!$C$34</f>
        <v>0</v>
      </c>
      <c r="M18" s="62" t="n">
        <f aca="false">M17*Assumptions!$C$34</f>
        <v>0</v>
      </c>
      <c r="N18" s="62" t="n">
        <f aca="false">N17*Assumptions!$C$34</f>
        <v>0</v>
      </c>
      <c r="O18" s="62" t="n">
        <f aca="false">O17*Assumptions!$C$34</f>
        <v>0</v>
      </c>
      <c r="P18" s="62" t="n">
        <f aca="false">P17*Assumptions!$C$34</f>
        <v>0</v>
      </c>
      <c r="Q18" s="62" t="n">
        <f aca="false">Q17*Assumptions!$C$34</f>
        <v>0</v>
      </c>
      <c r="R18" s="62" t="n">
        <f aca="false">R17*Assumptions!$C$34</f>
        <v>0</v>
      </c>
      <c r="S18" s="62" t="n">
        <f aca="false">S17*Assumptions!$C$34</f>
        <v>0</v>
      </c>
      <c r="T18" s="62" t="n">
        <f aca="false">T17*Assumptions!$C$34</f>
        <v>0</v>
      </c>
      <c r="U18" s="62" t="n">
        <f aca="false">U17*Assumptions!$C$34</f>
        <v>0</v>
      </c>
      <c r="V18" s="62" t="n">
        <f aca="false">V17*Assumptions!$C$34</f>
        <v>83693.7330353764</v>
      </c>
      <c r="W18" s="62" t="n">
        <f aca="false">W17*Assumptions!$C$34</f>
        <v>0</v>
      </c>
      <c r="X18" s="62" t="n">
        <f aca="false">X17*Assumptions!$C$34</f>
        <v>0</v>
      </c>
      <c r="Y18" s="62" t="n">
        <f aca="false">Y17*Assumptions!$C$34</f>
        <v>0</v>
      </c>
      <c r="Z18" s="62" t="n">
        <f aca="false">Z17*Assumptions!$C$34</f>
        <v>0</v>
      </c>
      <c r="AA18" s="62" t="n">
        <f aca="false">AA17*Assumptions!$C$34</f>
        <v>0</v>
      </c>
      <c r="AB18" s="62" t="n">
        <f aca="false">AB17*Assumptions!$C$34</f>
        <v>0</v>
      </c>
    </row>
    <row r="19" customFormat="false" ht="15" hidden="false" customHeight="false" outlineLevel="0" collapsed="false">
      <c r="A19" s="29" t="s">
        <v>1513</v>
      </c>
      <c r="B19" s="60"/>
      <c r="C19" s="61" t="n">
        <f aca="false">SUM(E19:P19)</f>
        <v>331312.5</v>
      </c>
      <c r="D19" s="61" t="n">
        <f aca="false">SUM(Q19:AB19)</f>
        <v>233628.477525293</v>
      </c>
      <c r="E19" s="71" t="n">
        <f aca="false">E17-E18</f>
        <v>0</v>
      </c>
      <c r="F19" s="71" t="n">
        <f aca="false">F17-F18</f>
        <v>0</v>
      </c>
      <c r="G19" s="71" t="n">
        <f aca="false">G17-G18</f>
        <v>0</v>
      </c>
      <c r="H19" s="71" t="n">
        <f aca="false">H17-H18</f>
        <v>0</v>
      </c>
      <c r="I19" s="71" t="n">
        <f aca="false">I17-I18</f>
        <v>0</v>
      </c>
      <c r="J19" s="71" t="n">
        <f aca="false">J17-J18</f>
        <v>331312.5</v>
      </c>
      <c r="K19" s="71" t="n">
        <f aca="false">K17-K18</f>
        <v>0</v>
      </c>
      <c r="L19" s="71" t="n">
        <f aca="false">L17-L18</f>
        <v>0</v>
      </c>
      <c r="M19" s="71" t="n">
        <f aca="false">M17-M18</f>
        <v>0</v>
      </c>
      <c r="N19" s="71" t="n">
        <f aca="false">N17-N18</f>
        <v>0</v>
      </c>
      <c r="O19" s="71" t="n">
        <f aca="false">O17-O18</f>
        <v>0</v>
      </c>
      <c r="P19" s="71" t="n">
        <f aca="false">P17-P18</f>
        <v>0</v>
      </c>
      <c r="Q19" s="71" t="n">
        <f aca="false">Q17-Q18</f>
        <v>0</v>
      </c>
      <c r="R19" s="71" t="n">
        <f aca="false">R17-R18</f>
        <v>0</v>
      </c>
      <c r="S19" s="71" t="n">
        <f aca="false">S17-S18</f>
        <v>0</v>
      </c>
      <c r="T19" s="71" t="n">
        <f aca="false">T17-T18</f>
        <v>0</v>
      </c>
      <c r="U19" s="71" t="n">
        <f aca="false">U17-U18</f>
        <v>0</v>
      </c>
      <c r="V19" s="71" t="n">
        <f aca="false">V17-V18</f>
        <v>233628.477525293</v>
      </c>
      <c r="W19" s="71" t="n">
        <f aca="false">W17-W18</f>
        <v>0</v>
      </c>
      <c r="X19" s="71" t="n">
        <f aca="false">X17-X18</f>
        <v>0</v>
      </c>
      <c r="Y19" s="71" t="n">
        <f aca="false">Y17-Y18</f>
        <v>0</v>
      </c>
      <c r="Z19" s="71" t="n">
        <f aca="false">Z17-Z18</f>
        <v>0</v>
      </c>
      <c r="AA19" s="71" t="n">
        <f aca="false">AA17-AA18</f>
        <v>0</v>
      </c>
      <c r="AB19" s="71" t="n">
        <f aca="false">AB17-AB18</f>
        <v>0</v>
      </c>
    </row>
    <row r="20" customFormat="false" ht="15" hidden="false" customHeight="false" outlineLevel="0" collapsed="false">
      <c r="A20" s="23" t="s">
        <v>1514</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row>
    <row r="21" customFormat="false" ht="15" hidden="false" customHeight="false" outlineLevel="0" collapsed="false">
      <c r="A21" s="29" t="s">
        <v>1515</v>
      </c>
      <c r="B21" s="60" t="s">
        <v>85</v>
      </c>
      <c r="C21" s="61" t="n">
        <f aca="false">P21</f>
        <v>750000</v>
      </c>
      <c r="D21" s="61" t="n">
        <f aca="false">AB21</f>
        <v>750000</v>
      </c>
      <c r="E21" s="62" t="n">
        <f aca="false">Assumptions!$C$14</f>
        <v>750000</v>
      </c>
      <c r="F21" s="62" t="n">
        <f aca="false">Assumptions!$C$14</f>
        <v>750000</v>
      </c>
      <c r="G21" s="62" t="n">
        <f aca="false">Assumptions!$C$14</f>
        <v>750000</v>
      </c>
      <c r="H21" s="62" t="n">
        <f aca="false">Assumptions!$C$14</f>
        <v>750000</v>
      </c>
      <c r="I21" s="62" t="n">
        <f aca="false">Assumptions!$C$14</f>
        <v>750000</v>
      </c>
      <c r="J21" s="62" t="n">
        <f aca="false">Assumptions!$C$14</f>
        <v>750000</v>
      </c>
      <c r="K21" s="62" t="n">
        <f aca="false">Assumptions!$C$14</f>
        <v>750000</v>
      </c>
      <c r="L21" s="62" t="n">
        <f aca="false">Assumptions!$C$14</f>
        <v>750000</v>
      </c>
      <c r="M21" s="62" t="n">
        <f aca="false">Assumptions!$C$14</f>
        <v>750000</v>
      </c>
      <c r="N21" s="62" t="n">
        <f aca="false">Assumptions!$C$14</f>
        <v>750000</v>
      </c>
      <c r="O21" s="62" t="n">
        <f aca="false">Assumptions!$C$14</f>
        <v>750000</v>
      </c>
      <c r="P21" s="62" t="n">
        <f aca="false">Assumptions!$C$14</f>
        <v>750000</v>
      </c>
      <c r="Q21" s="62" t="n">
        <f aca="false">Assumptions!$C$14</f>
        <v>750000</v>
      </c>
      <c r="R21" s="62" t="n">
        <f aca="false">Assumptions!$C$14</f>
        <v>750000</v>
      </c>
      <c r="S21" s="62" t="n">
        <f aca="false">Assumptions!$C$14</f>
        <v>750000</v>
      </c>
      <c r="T21" s="62" t="n">
        <f aca="false">Assumptions!$C$14</f>
        <v>750000</v>
      </c>
      <c r="U21" s="62" t="n">
        <f aca="false">Assumptions!$C$14</f>
        <v>750000</v>
      </c>
      <c r="V21" s="62" t="n">
        <f aca="false">Assumptions!$C$14</f>
        <v>750000</v>
      </c>
      <c r="W21" s="62" t="n">
        <f aca="false">Assumptions!$C$14</f>
        <v>750000</v>
      </c>
      <c r="X21" s="62" t="n">
        <f aca="false">Assumptions!$C$14</f>
        <v>750000</v>
      </c>
      <c r="Y21" s="62" t="n">
        <f aca="false">Assumptions!$C$14</f>
        <v>750000</v>
      </c>
      <c r="Z21" s="62" t="n">
        <f aca="false">Assumptions!$C$14</f>
        <v>750000</v>
      </c>
      <c r="AA21" s="62" t="n">
        <f aca="false">Assumptions!$C$14</f>
        <v>750000</v>
      </c>
      <c r="AB21" s="62" t="n">
        <f aca="false">Assumptions!$C$14</f>
        <v>750000</v>
      </c>
    </row>
    <row r="22" customFormat="false" ht="15" hidden="false" customHeight="false" outlineLevel="0" collapsed="false">
      <c r="A22" s="29" t="s">
        <v>1516</v>
      </c>
      <c r="B22" s="60"/>
      <c r="C22" s="61" t="n">
        <f aca="false">P22</f>
        <v>750000</v>
      </c>
      <c r="D22" s="61" t="n">
        <f aca="false">AB22</f>
        <v>750000</v>
      </c>
      <c r="E22" s="62" t="n">
        <f aca="false">Assumptions!$C$14-MAX(0,-BS!E9)</f>
        <v>750000</v>
      </c>
      <c r="F22" s="62" t="n">
        <f aca="false">Assumptions!$C$14-MAX(0,-BS!F9)</f>
        <v>750000</v>
      </c>
      <c r="G22" s="62" t="n">
        <f aca="false">Assumptions!$C$14-MAX(0,-BS!G9)</f>
        <v>750000</v>
      </c>
      <c r="H22" s="62" t="n">
        <f aca="false">Assumptions!$C$14-MAX(0,-BS!H9)</f>
        <v>750000</v>
      </c>
      <c r="I22" s="62" t="n">
        <f aca="false">Assumptions!$C$14-MAX(0,-BS!I9)</f>
        <v>750000</v>
      </c>
      <c r="J22" s="62" t="n">
        <f aca="false">Assumptions!$C$14-MAX(0,-BS!J9)</f>
        <v>750000</v>
      </c>
      <c r="K22" s="62" t="n">
        <f aca="false">Assumptions!$C$14-MAX(0,-BS!K9)</f>
        <v>750000</v>
      </c>
      <c r="L22" s="62" t="n">
        <f aca="false">Assumptions!$C$14-MAX(0,-BS!L9)</f>
        <v>750000</v>
      </c>
      <c r="M22" s="62" t="n">
        <f aca="false">Assumptions!$C$14-MAX(0,-BS!M9)</f>
        <v>750000</v>
      </c>
      <c r="N22" s="62" t="n">
        <f aca="false">Assumptions!$C$14-MAX(0,-BS!N9)</f>
        <v>750000</v>
      </c>
      <c r="O22" s="62" t="n">
        <f aca="false">Assumptions!$C$14-MAX(0,-BS!O9)</f>
        <v>750000</v>
      </c>
      <c r="P22" s="62" t="n">
        <f aca="false">Assumptions!$C$14-MAX(0,-BS!P9)</f>
        <v>750000</v>
      </c>
      <c r="Q22" s="62" t="n">
        <f aca="false">Assumptions!$C$14-MAX(0,-BS!Q9)</f>
        <v>750000</v>
      </c>
      <c r="R22" s="62" t="n">
        <f aca="false">Assumptions!$C$14-MAX(0,-BS!R9)</f>
        <v>750000</v>
      </c>
      <c r="S22" s="62" t="n">
        <f aca="false">Assumptions!$C$14-MAX(0,-BS!S9)</f>
        <v>750000</v>
      </c>
      <c r="T22" s="62" t="n">
        <f aca="false">Assumptions!$C$14-MAX(0,-BS!T9)</f>
        <v>750000</v>
      </c>
      <c r="U22" s="62" t="n">
        <f aca="false">Assumptions!$C$14-MAX(0,-BS!U9)</f>
        <v>750000</v>
      </c>
      <c r="V22" s="62" t="n">
        <f aca="false">Assumptions!$C$14-MAX(0,-BS!V9)</f>
        <v>750000</v>
      </c>
      <c r="W22" s="62" t="n">
        <f aca="false">Assumptions!$C$14-MAX(0,-BS!W9)</f>
        <v>750000</v>
      </c>
      <c r="X22" s="62" t="n">
        <f aca="false">Assumptions!$C$14-MAX(0,-BS!X9)</f>
        <v>750000</v>
      </c>
      <c r="Y22" s="62" t="n">
        <f aca="false">Assumptions!$C$14-MAX(0,-BS!Y9)</f>
        <v>750000</v>
      </c>
      <c r="Z22" s="62" t="n">
        <f aca="false">Assumptions!$C$14-MAX(0,-BS!Z9)</f>
        <v>750000</v>
      </c>
      <c r="AA22" s="62" t="n">
        <f aca="false">Assumptions!$C$14-MAX(0,-BS!AA9)</f>
        <v>750000</v>
      </c>
      <c r="AB22" s="62" t="n">
        <f aca="false">Assumptions!$C$14-MAX(0,-BS!AB9)</f>
        <v>750000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U42"/>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3" min="2" style="0" width="6"/>
    <col collapsed="false" customWidth="true" hidden="false" outlineLevel="0" max="4" min="4" style="0" width="40"/>
    <col collapsed="false" customWidth="true" hidden="false" outlineLevel="0" max="5" min="5" style="0" width="8"/>
    <col collapsed="false" customWidth="true" hidden="false" outlineLevel="0" max="6" min="6" style="0" width="10"/>
    <col collapsed="false" customWidth="true" hidden="false" outlineLevel="0" max="7" min="7" style="0" width="8"/>
    <col collapsed="false" customWidth="true" hidden="false" outlineLevel="0" max="8" min="8" style="0" width="9"/>
    <col collapsed="false" customWidth="true" hidden="false" outlineLevel="0" max="9" min="9" style="0" width="10"/>
    <col collapsed="false" customWidth="true" hidden="false" outlineLevel="0" max="10" min="10" style="0" width="12"/>
    <col collapsed="false" customWidth="true" hidden="false" outlineLevel="0" max="11" min="11" style="0" width="10"/>
    <col collapsed="false" customWidth="true" hidden="false" outlineLevel="0" max="12" min="12" style="0" width="9"/>
    <col collapsed="false" customWidth="true" hidden="false" outlineLevel="0" max="14" min="13" style="0" width="8"/>
    <col collapsed="false" customWidth="true" hidden="false" outlineLevel="0" max="19" min="15" style="0" width="7"/>
    <col collapsed="false" customWidth="true" hidden="false" outlineLevel="0" max="20" min="20" style="0" width="9"/>
    <col collapsed="false" customWidth="true" hidden="false" outlineLevel="0" max="24" min="21" style="0" width="11"/>
    <col collapsed="false" customWidth="true" hidden="false" outlineLevel="0" max="29" min="25" style="0" width="7"/>
    <col collapsed="false" customWidth="true" hidden="false" outlineLevel="0" max="31" min="30" style="0" width="9"/>
    <col collapsed="false" customWidth="true" hidden="false" outlineLevel="0" max="33" min="32" style="0" width="7"/>
    <col collapsed="false" customWidth="true" hidden="false" outlineLevel="0" max="35" min="34" style="0" width="8"/>
    <col collapsed="false" customWidth="true" hidden="false" outlineLevel="0" max="36" min="36" style="0" width="9"/>
    <col collapsed="false" customWidth="true" hidden="false" outlineLevel="0" max="37" min="37" style="0" width="10"/>
    <col collapsed="false" customWidth="true" hidden="false" outlineLevel="0" max="38" min="38" style="0" width="7"/>
    <col collapsed="false" customWidth="true" hidden="false" outlineLevel="0" max="39" min="39" style="0" width="9"/>
    <col collapsed="false" customWidth="true" hidden="false" outlineLevel="0" max="40" min="40" style="0" width="7"/>
    <col collapsed="false" customWidth="true" hidden="false" outlineLevel="0" max="41" min="41" style="0" width="10"/>
    <col collapsed="false" customWidth="true" hidden="false" outlineLevel="0" max="43" min="42" style="0" width="11"/>
    <col collapsed="false" customWidth="true" hidden="false" outlineLevel="0" max="45" min="44" style="0" width="8"/>
    <col collapsed="false" customWidth="true" hidden="false" outlineLevel="0" max="47" min="46" style="0" width="11"/>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1517</v>
      </c>
    </row>
    <row r="3" customFormat="false" ht="15" hidden="false" customHeight="false" outlineLevel="0" collapsed="false">
      <c r="A3" s="26" t="s">
        <v>1518</v>
      </c>
    </row>
    <row r="6" customFormat="false" ht="78" hidden="false" customHeight="true" outlineLevel="0" collapsed="false">
      <c r="A6" s="27" t="s">
        <v>731</v>
      </c>
      <c r="B6" s="28" t="s">
        <v>732</v>
      </c>
      <c r="C6" s="28" t="s">
        <v>508</v>
      </c>
      <c r="D6" s="28" t="s">
        <v>1519</v>
      </c>
      <c r="E6" s="28" t="s">
        <v>1520</v>
      </c>
      <c r="F6" s="28" t="s">
        <v>1521</v>
      </c>
      <c r="G6" s="28" t="s">
        <v>1522</v>
      </c>
      <c r="H6" s="28" t="s">
        <v>1523</v>
      </c>
      <c r="I6" s="28" t="s">
        <v>1524</v>
      </c>
      <c r="J6" s="28" t="s">
        <v>1525</v>
      </c>
      <c r="K6" s="28" t="s">
        <v>1526</v>
      </c>
      <c r="L6" s="28" t="s">
        <v>1527</v>
      </c>
      <c r="M6" s="28" t="s">
        <v>1528</v>
      </c>
      <c r="N6" s="28" t="s">
        <v>1529</v>
      </c>
      <c r="O6" s="28" t="s">
        <v>1530</v>
      </c>
      <c r="P6" s="28" t="s">
        <v>1235</v>
      </c>
      <c r="Q6" s="28" t="s">
        <v>1236</v>
      </c>
      <c r="R6" s="28" t="s">
        <v>1237</v>
      </c>
      <c r="S6" s="28" t="s">
        <v>1238</v>
      </c>
      <c r="T6" s="28" t="s">
        <v>1531</v>
      </c>
      <c r="U6" s="28" t="s">
        <v>1532</v>
      </c>
      <c r="V6" s="28" t="s">
        <v>1533</v>
      </c>
      <c r="W6" s="28" t="s">
        <v>1534</v>
      </c>
      <c r="X6" s="28" t="s">
        <v>1535</v>
      </c>
      <c r="Y6" s="28" t="s">
        <v>1536</v>
      </c>
      <c r="Z6" s="28" t="s">
        <v>1537</v>
      </c>
      <c r="AA6" s="28" t="s">
        <v>1538</v>
      </c>
      <c r="AB6" s="28" t="s">
        <v>1539</v>
      </c>
      <c r="AC6" s="28" t="s">
        <v>1540</v>
      </c>
      <c r="AD6" s="28" t="s">
        <v>1541</v>
      </c>
      <c r="AE6" s="28" t="s">
        <v>1542</v>
      </c>
      <c r="AF6" s="28" t="s">
        <v>1543</v>
      </c>
      <c r="AG6" s="28" t="s">
        <v>1544</v>
      </c>
      <c r="AH6" s="28" t="s">
        <v>1545</v>
      </c>
      <c r="AI6" s="28" t="s">
        <v>1546</v>
      </c>
      <c r="AJ6" s="28" t="s">
        <v>1547</v>
      </c>
      <c r="AK6" s="28" t="s">
        <v>1548</v>
      </c>
      <c r="AL6" s="28" t="s">
        <v>1549</v>
      </c>
      <c r="AM6" s="28" t="s">
        <v>1550</v>
      </c>
      <c r="AN6" s="28" t="s">
        <v>1551</v>
      </c>
      <c r="AO6" s="28" t="s">
        <v>1552</v>
      </c>
      <c r="AP6" s="28" t="s">
        <v>1553</v>
      </c>
      <c r="AQ6" s="28" t="s">
        <v>1554</v>
      </c>
      <c r="AR6" s="28" t="s">
        <v>1555</v>
      </c>
      <c r="AS6" s="28" t="s">
        <v>1556</v>
      </c>
      <c r="AT6" s="28" t="s">
        <v>1557</v>
      </c>
      <c r="AU6" s="28" t="s">
        <v>1558</v>
      </c>
    </row>
    <row r="7" customFormat="false" ht="15" hidden="false" customHeight="false" outlineLevel="0" collapsed="false">
      <c r="A7" s="128" t="s">
        <v>752</v>
      </c>
      <c r="B7" s="128" t="s">
        <v>753</v>
      </c>
      <c r="C7" s="128" t="s">
        <v>754</v>
      </c>
      <c r="D7" s="128" t="s">
        <v>1559</v>
      </c>
      <c r="E7" s="128" t="s">
        <v>755</v>
      </c>
      <c r="F7" s="128" t="s">
        <v>278</v>
      </c>
      <c r="G7" s="128" t="s">
        <v>1560</v>
      </c>
      <c r="H7" s="117" t="n">
        <v>45838</v>
      </c>
      <c r="I7" s="117" t="n">
        <v>46477</v>
      </c>
      <c r="J7" s="105" t="n">
        <v>2790000</v>
      </c>
      <c r="K7" s="129" t="n">
        <v>15296</v>
      </c>
      <c r="L7" s="127" t="n">
        <v>0.08</v>
      </c>
      <c r="M7" s="127" t="n">
        <v>0.03</v>
      </c>
      <c r="N7" s="130" t="n">
        <v>11</v>
      </c>
      <c r="O7" s="120" t="n">
        <v>1</v>
      </c>
      <c r="P7" s="127" t="n">
        <v>1</v>
      </c>
      <c r="Q7" s="127" t="n">
        <v>1</v>
      </c>
      <c r="R7" s="127" t="n">
        <v>1</v>
      </c>
      <c r="S7" s="64" t="n">
        <f aca="false">CHOOSE(Assumptions!$C$11,P7,Q7,R7)</f>
        <v>1</v>
      </c>
      <c r="T7" s="129" t="n">
        <v>5047.2</v>
      </c>
      <c r="U7" s="105" t="n">
        <v>922007.88</v>
      </c>
      <c r="V7" s="105" t="n">
        <v>790951.59</v>
      </c>
      <c r="W7" s="105" t="n">
        <v>0</v>
      </c>
      <c r="X7" s="105" t="n">
        <v>138206.08</v>
      </c>
      <c r="Y7" s="64" t="n">
        <f aca="false">INDEX(Assumptions!$C$111:$C$113,MATCH(G7,Assumptions!$B$111:$B$113,0))</f>
        <v>0.03</v>
      </c>
      <c r="Z7" s="64" t="n">
        <f aca="false">INDEX(Assumptions!$D$111:$D$113,MATCH(G7,Assumptions!$B$111:$B$113,0))</f>
        <v>0.06</v>
      </c>
      <c r="AA7" s="64" t="n">
        <f aca="false">INDEX(Assumptions!$E$111:$E$113,MATCH(G7,Assumptions!$B$111:$B$113,0))</f>
        <v>0.27</v>
      </c>
      <c r="AB7" s="64" t="n">
        <f aca="false">INDEX(Assumptions!$F$111:$F$113,MATCH(G7,Assumptions!$B$111:$B$113,0))</f>
        <v>0.4</v>
      </c>
      <c r="AC7" s="64" t="n">
        <f aca="false">INDEX(Assumptions!$G$111:$G$113,MATCH(G7,Assumptions!$B$111:$B$113,0))</f>
        <v>0.24</v>
      </c>
      <c r="AD7" s="112" t="n">
        <f aca="false">Y7*Assumptions!$C$64+Z7*Assumptions!$C$65+AA7*Assumptions!$C$66+AB7*Assumptions!$C$67+AC7*Assumptions!$C$68</f>
        <v>204.4</v>
      </c>
      <c r="AE7" s="112" t="n">
        <f aca="false">AD7*(1-L7)</f>
        <v>188.048</v>
      </c>
      <c r="AF7" s="131" t="n">
        <f aca="false">IF(OR(F7="Contracted",F7="Pipeline",F7="Run-rate"),Assumptions!$F$167,0)</f>
        <v>0</v>
      </c>
      <c r="AG7" s="131" t="n">
        <f aca="false">((YEAR(H7)-YEAR(Assumptions!$C$8))*12+MONTH(H7)-MONTH(Assumptions!$C$8)+1)+AF7</f>
        <v>-6</v>
      </c>
      <c r="AH7" s="131" t="n">
        <f aca="false">((YEAR(I7)-YEAR(Assumptions!$C$8))*12+MONTH(I7)-MONTH(Assumptions!$C$8)+1)+AF7</f>
        <v>15</v>
      </c>
      <c r="AI7" s="131" t="n">
        <f aca="false">AG7+ROUND((AH7-AG7)/2,0)</f>
        <v>5</v>
      </c>
      <c r="AJ7" s="72" t="n">
        <f aca="false">T7+SUMIFS(Inputs_Actuals!$E$9:$AB$9,Assumptions!$E$188:$AB$188,"A")</f>
        <v>10378.1</v>
      </c>
      <c r="AK7" s="72" t="n">
        <f aca="false">IF(OR(F7="Completed",F7="Stopped"),0,IF(OR(F7="Contracted",F7="Pipeline",F7="Run-rate"),K7*S7,N(INDEX(Inputs_Actuals!$E$10:$AB$10,Assumptions!$C$10))))</f>
        <v>4984</v>
      </c>
      <c r="AL7" s="64" t="n">
        <f aca="false">IF(OR(E7="TM",F7="Completed",F7="Stopped"),0,Assumptions!$F$169)</f>
        <v>0</v>
      </c>
      <c r="AM7" s="72" t="n">
        <f aca="false">AJ7+AK7*(1+AL7)</f>
        <v>15362.1</v>
      </c>
      <c r="AN7" s="131" t="n">
        <f aca="false">MAX(AG7,Assumptions!$C$10+1)</f>
        <v>9</v>
      </c>
      <c r="AO7" s="72" t="n">
        <f aca="false">SUMIFS(Assumptions!$E$200:$AB$200,Assumptions!$E$187:$AB$187,"&gt;="&amp;AN7,Assumptions!$E$187:$AB$187,"&lt;="&amp;AH7)+MAX(0,AH7-MAX(24,AN7-1))*AVERAGE(Assumptions!$Q$200:$AB$200)</f>
        <v>996.8</v>
      </c>
      <c r="AP7" s="71" t="n">
        <f aca="false">J7*S7</f>
        <v>2790000</v>
      </c>
      <c r="AQ7" s="71" t="str">
        <f aca="false">"n/a"</f>
        <v>n/a</v>
      </c>
      <c r="AR7" s="64" t="n">
        <f aca="false">IFERROR(1-SUMIFS(Inputs_Actuals!$E$11:$AB$11,Assumptions!$E$188:$AB$188,"A")/SUMIFS(Engagements!$E$46:$AB$46,Assumptions!$E$188:$AB$188,"A"),"n/a")</f>
        <v>0.0262383634510615</v>
      </c>
      <c r="AS7" s="64" t="n">
        <f aca="false">MAX(0,IF(ISNUMBER(AR7),AR7,M7)+Assumptions!$F$170)</f>
        <v>0.0362383634510615</v>
      </c>
      <c r="AT7" s="71" t="n">
        <f aca="false">U7+SUMIFS(Inputs_Actuals!$E$11:$AB$11,Assumptions!$E$188:$AB$188,"A")</f>
        <v>1898169.92</v>
      </c>
      <c r="AU7" s="71" t="n">
        <f aca="false">V7+SUMIFS(Inputs_Actuals!$E$12:$AB$12,Assumptions!$E$188:$AB$188,"A")</f>
        <v>1792589.08</v>
      </c>
    </row>
    <row r="8" customFormat="false" ht="15" hidden="false" customHeight="false" outlineLevel="0" collapsed="false">
      <c r="A8" s="128" t="s">
        <v>756</v>
      </c>
      <c r="B8" s="128" t="s">
        <v>757</v>
      </c>
      <c r="C8" s="128" t="s">
        <v>758</v>
      </c>
      <c r="D8" s="128" t="s">
        <v>1561</v>
      </c>
      <c r="E8" s="128" t="s">
        <v>759</v>
      </c>
      <c r="F8" s="128" t="s">
        <v>278</v>
      </c>
      <c r="G8" s="128" t="s">
        <v>1562</v>
      </c>
      <c r="H8" s="117" t="n">
        <v>45930</v>
      </c>
      <c r="I8" s="117" t="n">
        <v>46295</v>
      </c>
      <c r="J8" s="105" t="n">
        <v>560000</v>
      </c>
      <c r="K8" s="129" t="n">
        <v>3040</v>
      </c>
      <c r="L8" s="127" t="n">
        <v>0.08</v>
      </c>
      <c r="M8" s="127" t="n">
        <v>0</v>
      </c>
      <c r="N8" s="130" t="n">
        <v>16</v>
      </c>
      <c r="O8" s="120" t="n">
        <v>1</v>
      </c>
      <c r="P8" s="127" t="n">
        <v>1</v>
      </c>
      <c r="Q8" s="127" t="n">
        <v>1</v>
      </c>
      <c r="R8" s="127" t="n">
        <v>1</v>
      </c>
      <c r="S8" s="64" t="n">
        <f aca="false">CHOOSE(Assumptions!$C$11,P8,Q8,R8)</f>
        <v>1</v>
      </c>
      <c r="T8" s="129" t="n">
        <v>958.4</v>
      </c>
      <c r="U8" s="105" t="n">
        <v>173435.9</v>
      </c>
      <c r="V8" s="105" t="n">
        <v>129389.26</v>
      </c>
      <c r="W8" s="105" t="n">
        <v>173435.9</v>
      </c>
      <c r="X8" s="105" t="n">
        <v>48417.8</v>
      </c>
      <c r="Y8" s="64" t="n">
        <f aca="false">INDEX(Assumptions!$C$111:$C$113,MATCH(G8,Assumptions!$B$111:$B$113,0))</f>
        <v>0.045</v>
      </c>
      <c r="Z8" s="64" t="n">
        <f aca="false">INDEX(Assumptions!$D$111:$D$113,MATCH(G8,Assumptions!$B$111:$B$113,0))</f>
        <v>0.065</v>
      </c>
      <c r="AA8" s="64" t="n">
        <f aca="false">INDEX(Assumptions!$E$111:$E$113,MATCH(G8,Assumptions!$B$111:$B$113,0))</f>
        <v>0.18</v>
      </c>
      <c r="AB8" s="64" t="n">
        <f aca="false">INDEX(Assumptions!$F$111:$F$113,MATCH(G8,Assumptions!$B$111:$B$113,0))</f>
        <v>0.33</v>
      </c>
      <c r="AC8" s="64" t="n">
        <f aca="false">INDEX(Assumptions!$G$111:$G$113,MATCH(G8,Assumptions!$B$111:$B$113,0))</f>
        <v>0.38</v>
      </c>
      <c r="AD8" s="112" t="n">
        <f aca="false">Y8*Assumptions!$C$64+Z8*Assumptions!$C$65+AA8*Assumptions!$C$66+AB8*Assumptions!$C$67+AC8*Assumptions!$C$68</f>
        <v>196.7</v>
      </c>
      <c r="AE8" s="112" t="n">
        <f aca="false">AD8*(1-L8)</f>
        <v>180.964</v>
      </c>
      <c r="AF8" s="131" t="n">
        <f aca="false">IF(OR(F8="Contracted",F8="Pipeline",F8="Run-rate"),Assumptions!$F$167,0)</f>
        <v>0</v>
      </c>
      <c r="AG8" s="131" t="n">
        <f aca="false">((YEAR(H8)-YEAR(Assumptions!$C$8))*12+MONTH(H8)-MONTH(Assumptions!$C$8)+1)+AF8</f>
        <v>-3</v>
      </c>
      <c r="AH8" s="131" t="n">
        <f aca="false">((YEAR(I8)-YEAR(Assumptions!$C$8))*12+MONTH(I8)-MONTH(Assumptions!$C$8)+1)+AF8</f>
        <v>9</v>
      </c>
      <c r="AI8" s="131" t="n">
        <f aca="false">AG8+ROUND((AH8-AG8)/2,0)</f>
        <v>3</v>
      </c>
      <c r="AJ8" s="72" t="n">
        <f aca="false">T8+SUMIFS(Inputs_Actuals!$E$15:$AB$15,Assumptions!$E$188:$AB$188,"A")</f>
        <v>3271</v>
      </c>
      <c r="AK8" s="72" t="n">
        <f aca="false">IF(OR(F8="Completed",F8="Stopped"),0,IF(OR(F8="Contracted",F8="Pipeline",F8="Run-rate"),K8*S8,N(INDEX(Inputs_Actuals!$E$16:$AB$16,Assumptions!$C$10))))</f>
        <v>369</v>
      </c>
      <c r="AL8" s="64" t="n">
        <f aca="false">IF(OR(E8="TM",F8="Completed",F8="Stopped"),0,Assumptions!$F$169)</f>
        <v>0.05</v>
      </c>
      <c r="AM8" s="72" t="n">
        <f aca="false">AJ8+AK8*(1+AL8)</f>
        <v>3658.45</v>
      </c>
      <c r="AN8" s="131" t="n">
        <f aca="false">MAX(AG8,Assumptions!$C$10+1)</f>
        <v>9</v>
      </c>
      <c r="AO8" s="72" t="n">
        <f aca="false">SUMIFS(Assumptions!$E$200:$AB$200,Assumptions!$E$187:$AB$187,"&gt;="&amp;AN8,Assumptions!$E$187:$AB$187,"&lt;="&amp;AH8)+MAX(0,AH8-MAX(24,AN8-1))*AVERAGE(Assumptions!$Q$200:$AB$200)</f>
        <v>152.8</v>
      </c>
      <c r="AP8" s="71" t="n">
        <f aca="false">J8*S8</f>
        <v>560000</v>
      </c>
      <c r="AQ8" s="71" t="n">
        <f aca="false">INDEX(Engagements!$E$62:$AB$62,24)</f>
        <v>662047.7482</v>
      </c>
      <c r="AR8" s="64" t="str">
        <f aca="false">"n/a"</f>
        <v>n/a</v>
      </c>
      <c r="AS8" s="64" t="n">
        <f aca="false">0</f>
        <v>0</v>
      </c>
      <c r="AT8" s="71" t="n">
        <f aca="false">U8+SUMIFS(Inputs_Actuals!$E$17:$AB$17,Assumptions!$E$188:$AB$188,"A")</f>
        <v>503230.77</v>
      </c>
      <c r="AU8" s="71" t="n">
        <f aca="false">V8+SUMIFS(Inputs_Actuals!$E$18:$AB$18,Assumptions!$E$188:$AB$188,"A")</f>
        <v>537698.34</v>
      </c>
    </row>
    <row r="9" customFormat="false" ht="15" hidden="false" customHeight="false" outlineLevel="0" collapsed="false">
      <c r="A9" s="128" t="s">
        <v>760</v>
      </c>
      <c r="B9" s="128" t="s">
        <v>761</v>
      </c>
      <c r="C9" s="128" t="s">
        <v>762</v>
      </c>
      <c r="D9" s="128" t="s">
        <v>1563</v>
      </c>
      <c r="E9" s="128" t="s">
        <v>755</v>
      </c>
      <c r="F9" s="128" t="s">
        <v>1564</v>
      </c>
      <c r="G9" s="128" t="s">
        <v>1560</v>
      </c>
      <c r="H9" s="117" t="n">
        <v>45930</v>
      </c>
      <c r="I9" s="117" t="n">
        <v>46203</v>
      </c>
      <c r="J9" s="105" t="n">
        <v>949000</v>
      </c>
      <c r="K9" s="129" t="n">
        <v>5149</v>
      </c>
      <c r="L9" s="127" t="n">
        <v>0.08</v>
      </c>
      <c r="M9" s="127" t="n">
        <v>0.02</v>
      </c>
      <c r="N9" s="130" t="n">
        <v>9</v>
      </c>
      <c r="O9" s="120" t="n">
        <v>1</v>
      </c>
      <c r="P9" s="127" t="n">
        <v>1</v>
      </c>
      <c r="Q9" s="127" t="n">
        <v>1</v>
      </c>
      <c r="R9" s="127" t="n">
        <v>1</v>
      </c>
      <c r="S9" s="64" t="n">
        <f aca="false">CHOOSE(Assumptions!$C$11,P9,Q9,R9)</f>
        <v>1</v>
      </c>
      <c r="T9" s="129" t="n">
        <v>2135.7</v>
      </c>
      <c r="U9" s="105" t="n">
        <v>392737.29</v>
      </c>
      <c r="V9" s="105" t="n">
        <v>294425.63</v>
      </c>
      <c r="W9" s="105" t="n">
        <v>0</v>
      </c>
      <c r="X9" s="105" t="n">
        <v>103005.97</v>
      </c>
      <c r="Y9" s="64" t="n">
        <f aca="false">INDEX(Assumptions!$C$111:$C$113,MATCH(G9,Assumptions!$B$111:$B$113,0))</f>
        <v>0.03</v>
      </c>
      <c r="Z9" s="64" t="n">
        <f aca="false">INDEX(Assumptions!$D$111:$D$113,MATCH(G9,Assumptions!$B$111:$B$113,0))</f>
        <v>0.06</v>
      </c>
      <c r="AA9" s="64" t="n">
        <f aca="false">INDEX(Assumptions!$E$111:$E$113,MATCH(G9,Assumptions!$B$111:$B$113,0))</f>
        <v>0.27</v>
      </c>
      <c r="AB9" s="64" t="n">
        <f aca="false">INDEX(Assumptions!$F$111:$F$113,MATCH(G9,Assumptions!$B$111:$B$113,0))</f>
        <v>0.4</v>
      </c>
      <c r="AC9" s="64" t="n">
        <f aca="false">INDEX(Assumptions!$G$111:$G$113,MATCH(G9,Assumptions!$B$111:$B$113,0))</f>
        <v>0.24</v>
      </c>
      <c r="AD9" s="112" t="n">
        <f aca="false">Y9*Assumptions!$C$64+Z9*Assumptions!$C$65+AA9*Assumptions!$C$66+AB9*Assumptions!$C$67+AC9*Assumptions!$C$68</f>
        <v>204.4</v>
      </c>
      <c r="AE9" s="112" t="n">
        <f aca="false">AD9*(1-L9)</f>
        <v>188.048</v>
      </c>
      <c r="AF9" s="131" t="n">
        <f aca="false">IF(OR(F9="Contracted",F9="Pipeline",F9="Run-rate"),Assumptions!$F$167,0)</f>
        <v>0</v>
      </c>
      <c r="AG9" s="131" t="n">
        <f aca="false">((YEAR(H9)-YEAR(Assumptions!$C$8))*12+MONTH(H9)-MONTH(Assumptions!$C$8)+1)+AF9</f>
        <v>-3</v>
      </c>
      <c r="AH9" s="131" t="n">
        <f aca="false">((YEAR(I9)-YEAR(Assumptions!$C$8))*12+MONTH(I9)-MONTH(Assumptions!$C$8)+1)+AF9</f>
        <v>6</v>
      </c>
      <c r="AI9" s="131" t="n">
        <f aca="false">AG9+ROUND((AH9-AG9)/2,0)</f>
        <v>2</v>
      </c>
      <c r="AJ9" s="72" t="n">
        <f aca="false">T9+SUMIFS(Inputs_Actuals!$E$21:$AB$21,Assumptions!$E$188:$AB$188,"A")</f>
        <v>5053.1</v>
      </c>
      <c r="AK9" s="72" t="n">
        <f aca="false">IF(OR(F9="Completed",F9="Stopped"),0,IF(OR(F9="Contracted",F9="Pipeline",F9="Run-rate"),K9*S9,N(INDEX(Inputs_Actuals!$E$22:$AB$22,Assumptions!$C$10))))</f>
        <v>0</v>
      </c>
      <c r="AL9" s="64" t="n">
        <f aca="false">IF(OR(E9="TM",F9="Completed",F9="Stopped"),0,Assumptions!$F$169)</f>
        <v>0</v>
      </c>
      <c r="AM9" s="72" t="n">
        <f aca="false">AJ9+AK9*(1+AL9)</f>
        <v>5053.1</v>
      </c>
      <c r="AN9" s="131" t="n">
        <f aca="false">MAX(AG9,Assumptions!$C$10+1)</f>
        <v>9</v>
      </c>
      <c r="AO9" s="72" t="n">
        <f aca="false">SUMIFS(Assumptions!$E$200:$AB$200,Assumptions!$E$187:$AB$187,"&gt;="&amp;AN9,Assumptions!$E$187:$AB$187,"&lt;="&amp;AH9)+MAX(0,AH9-MAX(24,AN9-1))*AVERAGE(Assumptions!$Q$200:$AB$200)</f>
        <v>0</v>
      </c>
      <c r="AP9" s="71" t="n">
        <f aca="false">J9*S9</f>
        <v>949000</v>
      </c>
      <c r="AQ9" s="71" t="str">
        <f aca="false">"n/a"</f>
        <v>n/a</v>
      </c>
      <c r="AR9" s="64" t="n">
        <f aca="false">IFERROR(1-SUMIFS(Inputs_Actuals!$E$23:$AB$23,Assumptions!$E$188:$AB$188,"A")/SUMIFS(Engagements!$E$77:$AB$77,Assumptions!$E$188:$AB$188,"A"),"n/a")</f>
        <v>0.0216728977409031</v>
      </c>
      <c r="AS9" s="64" t="n">
        <f aca="false">MAX(0,IF(ISNUMBER(AR9),AR9,M9)+Assumptions!$F$170)</f>
        <v>0.0316728977409031</v>
      </c>
      <c r="AT9" s="71" t="n">
        <f aca="false">U9+SUMIFS(Inputs_Actuals!$E$23:$AB$23,Assumptions!$E$188:$AB$188,"A")</f>
        <v>929458.53</v>
      </c>
      <c r="AU9" s="71" t="n">
        <f aca="false">V9+SUMIFS(Inputs_Actuals!$E$24:$AB$24,Assumptions!$E$188:$AB$188,"A")</f>
        <v>929458.53</v>
      </c>
    </row>
    <row r="10" customFormat="false" ht="15" hidden="false" customHeight="false" outlineLevel="0" collapsed="false">
      <c r="A10" s="128" t="s">
        <v>763</v>
      </c>
      <c r="B10" s="128" t="s">
        <v>764</v>
      </c>
      <c r="C10" s="128" t="s">
        <v>758</v>
      </c>
      <c r="D10" s="128" t="s">
        <v>1565</v>
      </c>
      <c r="E10" s="128" t="s">
        <v>765</v>
      </c>
      <c r="F10" s="128" t="s">
        <v>1564</v>
      </c>
      <c r="G10" s="128" t="s">
        <v>1566</v>
      </c>
      <c r="H10" s="117" t="n">
        <v>45991</v>
      </c>
      <c r="I10" s="117" t="n">
        <v>46173</v>
      </c>
      <c r="J10" s="105" t="n">
        <v>290000</v>
      </c>
      <c r="K10" s="129" t="n">
        <v>1480</v>
      </c>
      <c r="L10" s="64" t="n">
        <f aca="false">IF(AD10=0,0,1-AE10/AD10)</f>
        <v>0.0515685094581514</v>
      </c>
      <c r="M10" s="127" t="n">
        <v>0</v>
      </c>
      <c r="N10" s="130" t="n">
        <v>12</v>
      </c>
      <c r="O10" s="120" t="n">
        <v>0</v>
      </c>
      <c r="P10" s="127" t="n">
        <v>1</v>
      </c>
      <c r="Q10" s="127" t="n">
        <v>1</v>
      </c>
      <c r="R10" s="127" t="n">
        <v>1</v>
      </c>
      <c r="S10" s="64" t="n">
        <f aca="false">CHOOSE(Assumptions!$C$11,P10,Q10,R10)</f>
        <v>1</v>
      </c>
      <c r="T10" s="129" t="n">
        <v>434.6</v>
      </c>
      <c r="U10" s="105" t="n">
        <v>85158.11</v>
      </c>
      <c r="V10" s="105" t="n">
        <v>87000</v>
      </c>
      <c r="W10" s="105" t="n">
        <v>0</v>
      </c>
      <c r="X10" s="105" t="n">
        <v>-1841.89</v>
      </c>
      <c r="Y10" s="64" t="n">
        <f aca="false">INDEX(Assumptions!$C$111:$C$113,MATCH(G10,Assumptions!$B$111:$B$113,0))</f>
        <v>0.08</v>
      </c>
      <c r="Z10" s="64" t="n">
        <f aca="false">INDEX(Assumptions!$D$111:$D$113,MATCH(G10,Assumptions!$B$111:$B$113,0))</f>
        <v>0.08</v>
      </c>
      <c r="AA10" s="64" t="n">
        <f aca="false">INDEX(Assumptions!$E$111:$E$113,MATCH(G10,Assumptions!$B$111:$B$113,0))</f>
        <v>0.19</v>
      </c>
      <c r="AB10" s="64" t="n">
        <f aca="false">INDEX(Assumptions!$F$111:$F$113,MATCH(G10,Assumptions!$B$111:$B$113,0))</f>
        <v>0.31</v>
      </c>
      <c r="AC10" s="64" t="n">
        <f aca="false">INDEX(Assumptions!$G$111:$G$113,MATCH(G10,Assumptions!$B$111:$B$113,0))</f>
        <v>0.34</v>
      </c>
      <c r="AD10" s="112" t="n">
        <f aca="false">Y10*Assumptions!$C$64+Z10*Assumptions!$C$65+AA10*Assumptions!$C$66+AB10*Assumptions!$C$67+AC10*Assumptions!$C$68</f>
        <v>206.6</v>
      </c>
      <c r="AE10" s="112" t="n">
        <f aca="false">IF(K10=0,0,J10/K10)</f>
        <v>195.945945945946</v>
      </c>
      <c r="AF10" s="131" t="n">
        <f aca="false">IF(OR(F10="Contracted",F10="Pipeline",F10="Run-rate"),Assumptions!$F$167,0)</f>
        <v>0</v>
      </c>
      <c r="AG10" s="131" t="n">
        <f aca="false">((YEAR(H10)-YEAR(Assumptions!$C$8))*12+MONTH(H10)-MONTH(Assumptions!$C$8)+1)+AF10</f>
        <v>-1</v>
      </c>
      <c r="AH10" s="131" t="n">
        <f aca="false">((YEAR(I10)-YEAR(Assumptions!$C$8))*12+MONTH(I10)-MONTH(Assumptions!$C$8)+1)+AF10</f>
        <v>5</v>
      </c>
      <c r="AI10" s="131" t="n">
        <f aca="false">AG10+ROUND((AH10-AG10)/2,0)</f>
        <v>2</v>
      </c>
      <c r="AJ10" s="72" t="n">
        <f aca="false">T10+SUMIFS(Inputs_Actuals!$E$27:$AB$27,Assumptions!$E$188:$AB$188,"A")</f>
        <v>1560</v>
      </c>
      <c r="AK10" s="72" t="n">
        <f aca="false">IF(OR(F10="Completed",F10="Stopped"),0,IF(OR(F10="Contracted",F10="Pipeline",F10="Run-rate"),K10*S10,N(INDEX(Inputs_Actuals!$E$28:$AB$28,Assumptions!$C$10))))</f>
        <v>0</v>
      </c>
      <c r="AL10" s="64" t="n">
        <f aca="false">IF(OR(E10="TM",F10="Completed",F10="Stopped"),0,Assumptions!$F$169)</f>
        <v>0</v>
      </c>
      <c r="AM10" s="72" t="n">
        <f aca="false">AJ10+AK10*(1+AL10)</f>
        <v>1560</v>
      </c>
      <c r="AN10" s="131" t="n">
        <f aca="false">MAX(AG10,Assumptions!$C$10+1)</f>
        <v>9</v>
      </c>
      <c r="AO10" s="72" t="n">
        <f aca="false">SUMIFS(Assumptions!$E$200:$AB$200,Assumptions!$E$187:$AB$187,"&gt;="&amp;AN10,Assumptions!$E$187:$AB$187,"&lt;="&amp;AH10)+MAX(0,AH10-MAX(24,AN10-1))*AVERAGE(Assumptions!$Q$200:$AB$200)</f>
        <v>0</v>
      </c>
      <c r="AP10" s="71" t="n">
        <f aca="false">J10*S10</f>
        <v>290000</v>
      </c>
      <c r="AQ10" s="71" t="str">
        <f aca="false">"n/a"</f>
        <v>n/a</v>
      </c>
      <c r="AR10" s="64" t="str">
        <f aca="false">"n/a"</f>
        <v>n/a</v>
      </c>
      <c r="AS10" s="64" t="n">
        <f aca="false">0</f>
        <v>0</v>
      </c>
      <c r="AT10" s="71" t="n">
        <f aca="false">U10+SUMIFS(Inputs_Actuals!$E$29:$AB$29,Assumptions!$E$188:$AB$188,"A")</f>
        <v>290000</v>
      </c>
      <c r="AU10" s="71" t="n">
        <f aca="false">V10+SUMIFS(Inputs_Actuals!$E$30:$AB$30,Assumptions!$E$188:$AB$188,"A")</f>
        <v>290000</v>
      </c>
    </row>
    <row r="11" customFormat="false" ht="15" hidden="false" customHeight="false" outlineLevel="0" collapsed="false">
      <c r="A11" s="128" t="s">
        <v>766</v>
      </c>
      <c r="B11" s="128" t="s">
        <v>767</v>
      </c>
      <c r="C11" s="128" t="s">
        <v>754</v>
      </c>
      <c r="D11" s="128" t="s">
        <v>1567</v>
      </c>
      <c r="E11" s="128" t="s">
        <v>765</v>
      </c>
      <c r="F11" s="128" t="s">
        <v>1564</v>
      </c>
      <c r="G11" s="128" t="s">
        <v>1566</v>
      </c>
      <c r="H11" s="117" t="n">
        <v>45991</v>
      </c>
      <c r="I11" s="117" t="n">
        <v>46112</v>
      </c>
      <c r="J11" s="105" t="n">
        <v>120000</v>
      </c>
      <c r="K11" s="129" t="n">
        <v>600</v>
      </c>
      <c r="L11" s="64" t="n">
        <f aca="false">IF(AD11=0,0,1-AE11/AD11)</f>
        <v>0.0319457889641821</v>
      </c>
      <c r="M11" s="127" t="n">
        <v>0</v>
      </c>
      <c r="N11" s="130" t="n">
        <v>8</v>
      </c>
      <c r="O11" s="120" t="n">
        <v>0</v>
      </c>
      <c r="P11" s="127" t="n">
        <v>1</v>
      </c>
      <c r="Q11" s="127" t="n">
        <v>1</v>
      </c>
      <c r="R11" s="127" t="n">
        <v>1</v>
      </c>
      <c r="S11" s="64" t="n">
        <f aca="false">CHOOSE(Assumptions!$C$11,P11,Q11,R11)</f>
        <v>1</v>
      </c>
      <c r="T11" s="129" t="n">
        <v>251.4</v>
      </c>
      <c r="U11" s="105" t="n">
        <v>50280</v>
      </c>
      <c r="V11" s="105" t="n">
        <v>36000</v>
      </c>
      <c r="W11" s="105" t="n">
        <v>0</v>
      </c>
      <c r="X11" s="105" t="n">
        <v>14280</v>
      </c>
      <c r="Y11" s="64" t="n">
        <f aca="false">INDEX(Assumptions!$C$111:$C$113,MATCH(G11,Assumptions!$B$111:$B$113,0))</f>
        <v>0.08</v>
      </c>
      <c r="Z11" s="64" t="n">
        <f aca="false">INDEX(Assumptions!$D$111:$D$113,MATCH(G11,Assumptions!$B$111:$B$113,0))</f>
        <v>0.08</v>
      </c>
      <c r="AA11" s="64" t="n">
        <f aca="false">INDEX(Assumptions!$E$111:$E$113,MATCH(G11,Assumptions!$B$111:$B$113,0))</f>
        <v>0.19</v>
      </c>
      <c r="AB11" s="64" t="n">
        <f aca="false">INDEX(Assumptions!$F$111:$F$113,MATCH(G11,Assumptions!$B$111:$B$113,0))</f>
        <v>0.31</v>
      </c>
      <c r="AC11" s="64" t="n">
        <f aca="false">INDEX(Assumptions!$G$111:$G$113,MATCH(G11,Assumptions!$B$111:$B$113,0))</f>
        <v>0.34</v>
      </c>
      <c r="AD11" s="112" t="n">
        <f aca="false">Y11*Assumptions!$C$64+Z11*Assumptions!$C$65+AA11*Assumptions!$C$66+AB11*Assumptions!$C$67+AC11*Assumptions!$C$68</f>
        <v>206.6</v>
      </c>
      <c r="AE11" s="112" t="n">
        <f aca="false">IF(K11=0,0,J11/K11)</f>
        <v>200</v>
      </c>
      <c r="AF11" s="131" t="n">
        <f aca="false">IF(OR(F11="Contracted",F11="Pipeline",F11="Run-rate"),Assumptions!$F$167,0)</f>
        <v>0</v>
      </c>
      <c r="AG11" s="131" t="n">
        <f aca="false">((YEAR(H11)-YEAR(Assumptions!$C$8))*12+MONTH(H11)-MONTH(Assumptions!$C$8)+1)+AF11</f>
        <v>-1</v>
      </c>
      <c r="AH11" s="131" t="n">
        <f aca="false">((YEAR(I11)-YEAR(Assumptions!$C$8))*12+MONTH(I11)-MONTH(Assumptions!$C$8)+1)+AF11</f>
        <v>3</v>
      </c>
      <c r="AI11" s="131" t="n">
        <f aca="false">AG11+ROUND((AH11-AG11)/2,0)</f>
        <v>1</v>
      </c>
      <c r="AJ11" s="72" t="n">
        <f aca="false">T11+SUMIFS(Inputs_Actuals!$E$32:$AB$32,Assumptions!$E$188:$AB$188,"A")</f>
        <v>640</v>
      </c>
      <c r="AK11" s="72" t="n">
        <f aca="false">IF(OR(F11="Completed",F11="Stopped"),0,IF(OR(F11="Contracted",F11="Pipeline",F11="Run-rate"),K11*S11,N(INDEX(Inputs_Actuals!$E$33:$AB$33,Assumptions!$C$10))))</f>
        <v>0</v>
      </c>
      <c r="AL11" s="64" t="n">
        <f aca="false">IF(OR(E11="TM",F11="Completed",F11="Stopped"),0,Assumptions!$F$169)</f>
        <v>0</v>
      </c>
      <c r="AM11" s="72" t="n">
        <f aca="false">AJ11+AK11*(1+AL11)</f>
        <v>640</v>
      </c>
      <c r="AN11" s="131" t="n">
        <f aca="false">MAX(AG11,Assumptions!$C$10+1)</f>
        <v>9</v>
      </c>
      <c r="AO11" s="72" t="n">
        <f aca="false">SUMIFS(Assumptions!$E$200:$AB$200,Assumptions!$E$187:$AB$187,"&gt;="&amp;AN11,Assumptions!$E$187:$AB$187,"&lt;="&amp;AH11)+MAX(0,AH11-MAX(24,AN11-1))*AVERAGE(Assumptions!$Q$200:$AB$200)</f>
        <v>0</v>
      </c>
      <c r="AP11" s="71" t="n">
        <f aca="false">J11*S11</f>
        <v>120000</v>
      </c>
      <c r="AQ11" s="71" t="str">
        <f aca="false">"n/a"</f>
        <v>n/a</v>
      </c>
      <c r="AR11" s="64" t="str">
        <f aca="false">"n/a"</f>
        <v>n/a</v>
      </c>
      <c r="AS11" s="64" t="n">
        <f aca="false">0</f>
        <v>0</v>
      </c>
      <c r="AT11" s="71" t="n">
        <f aca="false">U11+SUMIFS(Inputs_Actuals!$E$34:$AB$34,Assumptions!$E$188:$AB$188,"A")</f>
        <v>120000</v>
      </c>
      <c r="AU11" s="71" t="n">
        <f aca="false">V11+SUMIFS(Inputs_Actuals!$E$35:$AB$35,Assumptions!$E$188:$AB$188,"A")</f>
        <v>120000</v>
      </c>
    </row>
    <row r="12" customFormat="false" ht="15" hidden="false" customHeight="false" outlineLevel="0" collapsed="false">
      <c r="A12" s="128" t="s">
        <v>768</v>
      </c>
      <c r="B12" s="128" t="s">
        <v>769</v>
      </c>
      <c r="C12" s="128" t="s">
        <v>758</v>
      </c>
      <c r="D12" s="128" t="s">
        <v>1568</v>
      </c>
      <c r="E12" s="128" t="s">
        <v>755</v>
      </c>
      <c r="F12" s="128" t="s">
        <v>1569</v>
      </c>
      <c r="G12" s="128" t="s">
        <v>1562</v>
      </c>
      <c r="H12" s="117" t="n">
        <v>46022</v>
      </c>
      <c r="I12" s="117" t="n">
        <v>46234</v>
      </c>
      <c r="J12" s="105" t="n">
        <v>252000</v>
      </c>
      <c r="K12" s="129" t="n">
        <v>1499</v>
      </c>
      <c r="L12" s="127" t="n">
        <v>0.1</v>
      </c>
      <c r="M12" s="127" t="n">
        <v>0.05</v>
      </c>
      <c r="N12" s="130" t="n">
        <v>14</v>
      </c>
      <c r="O12" s="120" t="n">
        <v>1</v>
      </c>
      <c r="P12" s="127" t="n">
        <v>1</v>
      </c>
      <c r="Q12" s="127" t="n">
        <v>1</v>
      </c>
      <c r="R12" s="127" t="n">
        <v>1</v>
      </c>
      <c r="S12" s="64" t="n">
        <f aca="false">CHOOSE(Assumptions!$C$11,P12,Q12,R12)</f>
        <v>1</v>
      </c>
      <c r="T12" s="129" t="n">
        <v>187.5</v>
      </c>
      <c r="U12" s="105" t="n">
        <v>31342.95</v>
      </c>
      <c r="V12" s="105" t="n">
        <v>0</v>
      </c>
      <c r="W12" s="105" t="n">
        <v>0</v>
      </c>
      <c r="X12" s="105" t="n">
        <v>33742.35</v>
      </c>
      <c r="Y12" s="64" t="n">
        <f aca="false">INDEX(Assumptions!$C$111:$C$113,MATCH(G12,Assumptions!$B$111:$B$113,0))</f>
        <v>0.045</v>
      </c>
      <c r="Z12" s="64" t="n">
        <f aca="false">INDEX(Assumptions!$D$111:$D$113,MATCH(G12,Assumptions!$B$111:$B$113,0))</f>
        <v>0.065</v>
      </c>
      <c r="AA12" s="64" t="n">
        <f aca="false">INDEX(Assumptions!$E$111:$E$113,MATCH(G12,Assumptions!$B$111:$B$113,0))</f>
        <v>0.18</v>
      </c>
      <c r="AB12" s="64" t="n">
        <f aca="false">INDEX(Assumptions!$F$111:$F$113,MATCH(G12,Assumptions!$B$111:$B$113,0))</f>
        <v>0.33</v>
      </c>
      <c r="AC12" s="64" t="n">
        <f aca="false">INDEX(Assumptions!$G$111:$G$113,MATCH(G12,Assumptions!$B$111:$B$113,0))</f>
        <v>0.38</v>
      </c>
      <c r="AD12" s="112" t="n">
        <f aca="false">Y12*Assumptions!$C$64+Z12*Assumptions!$C$65+AA12*Assumptions!$C$66+AB12*Assumptions!$C$67+AC12*Assumptions!$C$68</f>
        <v>196.7</v>
      </c>
      <c r="AE12" s="112" t="n">
        <f aca="false">AD12*(1-L12)</f>
        <v>177.03</v>
      </c>
      <c r="AF12" s="131" t="n">
        <f aca="false">IF(OR(F12="Contracted",F12="Pipeline",F12="Run-rate"),Assumptions!$F$167,0)</f>
        <v>0</v>
      </c>
      <c r="AG12" s="131" t="n">
        <f aca="false">((YEAR(H12)-YEAR(Assumptions!$C$8))*12+MONTH(H12)-MONTH(Assumptions!$C$8)+1)+AF12</f>
        <v>0</v>
      </c>
      <c r="AH12" s="131" t="n">
        <f aca="false">((YEAR(I12)-YEAR(Assumptions!$C$8))*12+MONTH(I12)-MONTH(Assumptions!$C$8)+1)+AF12</f>
        <v>7</v>
      </c>
      <c r="AI12" s="131" t="n">
        <f aca="false">AG12+ROUND((AH12-AG12)/2,0)</f>
        <v>4</v>
      </c>
      <c r="AJ12" s="72" t="n">
        <f aca="false">T12+SUMIFS(Inputs_Actuals!$E$37:$AB$37,Assumptions!$E$188:$AB$188,"A")</f>
        <v>1399.7</v>
      </c>
      <c r="AK12" s="72" t="n">
        <f aca="false">IF(OR(F12="Completed",F12="Stopped"),0,IF(OR(F12="Contracted",F12="Pipeline",F12="Run-rate"),K12*S12,N(INDEX(Inputs_Actuals!$E$38:$AB$38,Assumptions!$C$10))))</f>
        <v>0</v>
      </c>
      <c r="AL12" s="64" t="n">
        <f aca="false">IF(OR(E12="TM",F12="Completed",F12="Stopped"),0,Assumptions!$F$169)</f>
        <v>0</v>
      </c>
      <c r="AM12" s="72" t="n">
        <f aca="false">AJ12+AK12*(1+AL12)</f>
        <v>1399.7</v>
      </c>
      <c r="AN12" s="131" t="n">
        <f aca="false">MAX(AG12,Assumptions!$C$10+1)</f>
        <v>9</v>
      </c>
      <c r="AO12" s="72" t="n">
        <f aca="false">SUMIFS(Assumptions!$E$200:$AB$200,Assumptions!$E$187:$AB$187,"&gt;="&amp;AN12,Assumptions!$E$187:$AB$187,"&lt;="&amp;AH12)+MAX(0,AH12-MAX(24,AN12-1))*AVERAGE(Assumptions!$Q$200:$AB$200)</f>
        <v>0</v>
      </c>
      <c r="AP12" s="71" t="n">
        <f aca="false">J12*S12</f>
        <v>252000</v>
      </c>
      <c r="AQ12" s="71" t="str">
        <f aca="false">"n/a"</f>
        <v>n/a</v>
      </c>
      <c r="AR12" s="64" t="n">
        <f aca="false">IFERROR(1-SUMIFS(Inputs_Actuals!$E$39:$AB$39,Assumptions!$E$188:$AB$188,"A")/SUMIFS(Engagements!$E$122:$AB$122,Assumptions!$E$188:$AB$188,"A"),"n/a")</f>
        <v>0.12477136198484</v>
      </c>
      <c r="AS12" s="64" t="n">
        <f aca="false">MAX(0,IF(ISNUMBER(AR12),AR12,M12)+Assumptions!$F$170)</f>
        <v>0.13477136198484</v>
      </c>
      <c r="AT12" s="71" t="n">
        <f aca="false">U12+SUMIFS(Inputs_Actuals!$E$39:$AB$39,Assumptions!$E$188:$AB$188,"A")</f>
        <v>219163.31</v>
      </c>
      <c r="AU12" s="71" t="n">
        <f aca="false">V12+SUMIFS(Inputs_Actuals!$E$40:$AB$40,Assumptions!$E$188:$AB$188,"A")</f>
        <v>219163.31</v>
      </c>
    </row>
    <row r="13" customFormat="false" ht="15" hidden="false" customHeight="false" outlineLevel="0" collapsed="false">
      <c r="A13" s="128" t="s">
        <v>770</v>
      </c>
      <c r="B13" s="128" t="s">
        <v>771</v>
      </c>
      <c r="C13" s="128" t="s">
        <v>762</v>
      </c>
      <c r="D13" s="128" t="s">
        <v>1570</v>
      </c>
      <c r="E13" s="128" t="s">
        <v>765</v>
      </c>
      <c r="F13" s="128" t="s">
        <v>1564</v>
      </c>
      <c r="G13" s="128" t="s">
        <v>1562</v>
      </c>
      <c r="H13" s="117" t="n">
        <v>46053</v>
      </c>
      <c r="I13" s="117" t="n">
        <v>46203</v>
      </c>
      <c r="J13" s="105" t="n">
        <v>240000</v>
      </c>
      <c r="K13" s="129" t="n">
        <v>1300</v>
      </c>
      <c r="L13" s="64" t="n">
        <f aca="false">IF(AD13=0,0,1-AE13/AD13)</f>
        <v>0.0614367838567128</v>
      </c>
      <c r="M13" s="127" t="n">
        <v>0</v>
      </c>
      <c r="N13" s="130" t="n">
        <v>12</v>
      </c>
      <c r="O13" s="120" t="n">
        <v>0</v>
      </c>
      <c r="P13" s="127" t="n">
        <v>1</v>
      </c>
      <c r="Q13" s="127" t="n">
        <v>1</v>
      </c>
      <c r="R13" s="127" t="n">
        <v>1</v>
      </c>
      <c r="S13" s="64" t="n">
        <f aca="false">CHOOSE(Assumptions!$C$11,P13,Q13,R13)</f>
        <v>1</v>
      </c>
      <c r="T13" s="129" t="n">
        <v>0</v>
      </c>
      <c r="U13" s="105" t="n">
        <v>0</v>
      </c>
      <c r="V13" s="105" t="n">
        <v>0</v>
      </c>
      <c r="W13" s="105" t="n">
        <v>0</v>
      </c>
      <c r="X13" s="105" t="n">
        <v>0</v>
      </c>
      <c r="Y13" s="64" t="n">
        <f aca="false">INDEX(Assumptions!$C$111:$C$113,MATCH(G13,Assumptions!$B$111:$B$113,0))</f>
        <v>0.045</v>
      </c>
      <c r="Z13" s="64" t="n">
        <f aca="false">INDEX(Assumptions!$D$111:$D$113,MATCH(G13,Assumptions!$B$111:$B$113,0))</f>
        <v>0.065</v>
      </c>
      <c r="AA13" s="64" t="n">
        <f aca="false">INDEX(Assumptions!$E$111:$E$113,MATCH(G13,Assumptions!$B$111:$B$113,0))</f>
        <v>0.18</v>
      </c>
      <c r="AB13" s="64" t="n">
        <f aca="false">INDEX(Assumptions!$F$111:$F$113,MATCH(G13,Assumptions!$B$111:$B$113,0))</f>
        <v>0.33</v>
      </c>
      <c r="AC13" s="64" t="n">
        <f aca="false">INDEX(Assumptions!$G$111:$G$113,MATCH(G13,Assumptions!$B$111:$B$113,0))</f>
        <v>0.38</v>
      </c>
      <c r="AD13" s="112" t="n">
        <f aca="false">Y13*Assumptions!$C$64+Z13*Assumptions!$C$65+AA13*Assumptions!$C$66+AB13*Assumptions!$C$67+AC13*Assumptions!$C$68</f>
        <v>196.7</v>
      </c>
      <c r="AE13" s="112" t="n">
        <f aca="false">IF(K13=0,0,J13/K13)</f>
        <v>184.615384615385</v>
      </c>
      <c r="AF13" s="131" t="n">
        <f aca="false">IF(OR(F13="Contracted",F13="Pipeline",F13="Run-rate"),Assumptions!$F$167,0)</f>
        <v>0</v>
      </c>
      <c r="AG13" s="131" t="n">
        <f aca="false">((YEAR(H13)-YEAR(Assumptions!$C$8))*12+MONTH(H13)-MONTH(Assumptions!$C$8)+1)+AF13</f>
        <v>1</v>
      </c>
      <c r="AH13" s="131" t="n">
        <f aca="false">((YEAR(I13)-YEAR(Assumptions!$C$8))*12+MONTH(I13)-MONTH(Assumptions!$C$8)+1)+AF13</f>
        <v>6</v>
      </c>
      <c r="AI13" s="131" t="n">
        <f aca="false">AG13+ROUND((AH13-AG13)/2,0)</f>
        <v>4</v>
      </c>
      <c r="AJ13" s="72" t="n">
        <f aca="false">T13+SUMIFS(Inputs_Actuals!$E$43:$AB$43,Assumptions!$E$188:$AB$188,"A")</f>
        <v>1450</v>
      </c>
      <c r="AK13" s="72" t="n">
        <f aca="false">IF(OR(F13="Completed",F13="Stopped"),0,IF(OR(F13="Contracted",F13="Pipeline",F13="Run-rate"),K13*S13,N(INDEX(Inputs_Actuals!$E$44:$AB$44,Assumptions!$C$10))))</f>
        <v>0</v>
      </c>
      <c r="AL13" s="64" t="n">
        <f aca="false">IF(OR(E13="TM",F13="Completed",F13="Stopped"),0,Assumptions!$F$169)</f>
        <v>0</v>
      </c>
      <c r="AM13" s="72" t="n">
        <f aca="false">AJ13+AK13*(1+AL13)</f>
        <v>1450</v>
      </c>
      <c r="AN13" s="131" t="n">
        <f aca="false">MAX(AG13,Assumptions!$C$10+1)</f>
        <v>9</v>
      </c>
      <c r="AO13" s="72" t="n">
        <f aca="false">SUMIFS(Assumptions!$E$200:$AB$200,Assumptions!$E$187:$AB$187,"&gt;="&amp;AN13,Assumptions!$E$187:$AB$187,"&lt;="&amp;AH13)+MAX(0,AH13-MAX(24,AN13-1))*AVERAGE(Assumptions!$Q$200:$AB$200)</f>
        <v>0</v>
      </c>
      <c r="AP13" s="71" t="n">
        <f aca="false">J13*S13</f>
        <v>240000</v>
      </c>
      <c r="AQ13" s="71" t="str">
        <f aca="false">"n/a"</f>
        <v>n/a</v>
      </c>
      <c r="AR13" s="64" t="str">
        <f aca="false">"n/a"</f>
        <v>n/a</v>
      </c>
      <c r="AS13" s="64" t="n">
        <f aca="false">0</f>
        <v>0</v>
      </c>
      <c r="AT13" s="71" t="n">
        <f aca="false">U13+SUMIFS(Inputs_Actuals!$E$45:$AB$45,Assumptions!$E$188:$AB$188,"A")</f>
        <v>240000</v>
      </c>
      <c r="AU13" s="71" t="n">
        <f aca="false">V13+SUMIFS(Inputs_Actuals!$E$46:$AB$46,Assumptions!$E$188:$AB$188,"A")</f>
        <v>240000</v>
      </c>
    </row>
    <row r="14" customFormat="false" ht="15" hidden="false" customHeight="false" outlineLevel="0" collapsed="false">
      <c r="A14" s="128" t="s">
        <v>772</v>
      </c>
      <c r="B14" s="128" t="s">
        <v>773</v>
      </c>
      <c r="C14" s="128" t="s">
        <v>762</v>
      </c>
      <c r="D14" s="128" t="s">
        <v>1571</v>
      </c>
      <c r="E14" s="128" t="s">
        <v>755</v>
      </c>
      <c r="F14" s="128" t="s">
        <v>278</v>
      </c>
      <c r="G14" s="128" t="s">
        <v>1562</v>
      </c>
      <c r="H14" s="117" t="n">
        <v>46081</v>
      </c>
      <c r="I14" s="117" t="n">
        <v>46326</v>
      </c>
      <c r="J14" s="105" t="n">
        <v>523000</v>
      </c>
      <c r="K14" s="129" t="n">
        <v>2854</v>
      </c>
      <c r="L14" s="127" t="n">
        <v>0.05</v>
      </c>
      <c r="M14" s="127" t="n">
        <v>0.02</v>
      </c>
      <c r="N14" s="130" t="n">
        <v>22</v>
      </c>
      <c r="O14" s="120" t="n">
        <v>1</v>
      </c>
      <c r="P14" s="127" t="n">
        <v>1</v>
      </c>
      <c r="Q14" s="127" t="n">
        <v>1</v>
      </c>
      <c r="R14" s="127" t="n">
        <v>1</v>
      </c>
      <c r="S14" s="64" t="n">
        <f aca="false">CHOOSE(Assumptions!$C$11,P14,Q14,R14)</f>
        <v>1</v>
      </c>
      <c r="T14" s="129" t="n">
        <v>0</v>
      </c>
      <c r="U14" s="105" t="n">
        <v>0</v>
      </c>
      <c r="V14" s="105" t="n">
        <v>0</v>
      </c>
      <c r="W14" s="105" t="n">
        <v>0</v>
      </c>
      <c r="X14" s="105" t="n">
        <v>0</v>
      </c>
      <c r="Y14" s="64" t="n">
        <f aca="false">INDEX(Assumptions!$C$111:$C$113,MATCH(G14,Assumptions!$B$111:$B$113,0))</f>
        <v>0.045</v>
      </c>
      <c r="Z14" s="64" t="n">
        <f aca="false">INDEX(Assumptions!$D$111:$D$113,MATCH(G14,Assumptions!$B$111:$B$113,0))</f>
        <v>0.065</v>
      </c>
      <c r="AA14" s="64" t="n">
        <f aca="false">INDEX(Assumptions!$E$111:$E$113,MATCH(G14,Assumptions!$B$111:$B$113,0))</f>
        <v>0.18</v>
      </c>
      <c r="AB14" s="64" t="n">
        <f aca="false">INDEX(Assumptions!$F$111:$F$113,MATCH(G14,Assumptions!$B$111:$B$113,0))</f>
        <v>0.33</v>
      </c>
      <c r="AC14" s="64" t="n">
        <f aca="false">INDEX(Assumptions!$G$111:$G$113,MATCH(G14,Assumptions!$B$111:$B$113,0))</f>
        <v>0.38</v>
      </c>
      <c r="AD14" s="112" t="n">
        <f aca="false">Y14*Assumptions!$C$64+Z14*Assumptions!$C$65+AA14*Assumptions!$C$66+AB14*Assumptions!$C$67+AC14*Assumptions!$C$68</f>
        <v>196.7</v>
      </c>
      <c r="AE14" s="112" t="n">
        <f aca="false">AD14*(1-L14)</f>
        <v>186.865</v>
      </c>
      <c r="AF14" s="131" t="n">
        <f aca="false">IF(OR(F14="Contracted",F14="Pipeline",F14="Run-rate"),Assumptions!$F$167,0)</f>
        <v>0</v>
      </c>
      <c r="AG14" s="131" t="n">
        <f aca="false">((YEAR(H14)-YEAR(Assumptions!$C$8))*12+MONTH(H14)-MONTH(Assumptions!$C$8)+1)+AF14</f>
        <v>2</v>
      </c>
      <c r="AH14" s="131" t="n">
        <f aca="false">((YEAR(I14)-YEAR(Assumptions!$C$8))*12+MONTH(I14)-MONTH(Assumptions!$C$8)+1)+AF14</f>
        <v>10</v>
      </c>
      <c r="AI14" s="131" t="n">
        <f aca="false">AG14+ROUND((AH14-AG14)/2,0)</f>
        <v>6</v>
      </c>
      <c r="AJ14" s="72" t="n">
        <f aca="false">T14+SUMIFS(Inputs_Actuals!$E$48:$AB$48,Assumptions!$E$188:$AB$188,"A")</f>
        <v>2189.7</v>
      </c>
      <c r="AK14" s="72" t="n">
        <f aca="false">IF(OR(F14="Completed",F14="Stopped"),0,IF(OR(F14="Contracted",F14="Pipeline",F14="Run-rate"),K14*S14,N(INDEX(Inputs_Actuals!$E$49:$AB$49,Assumptions!$C$10))))</f>
        <v>685.7</v>
      </c>
      <c r="AL14" s="64" t="n">
        <f aca="false">IF(OR(E14="TM",F14="Completed",F14="Stopped"),0,Assumptions!$F$169)</f>
        <v>0</v>
      </c>
      <c r="AM14" s="72" t="n">
        <f aca="false">AJ14+AK14*(1+AL14)</f>
        <v>2875.4</v>
      </c>
      <c r="AN14" s="131" t="n">
        <f aca="false">MAX(AG14,Assumptions!$C$10+1)</f>
        <v>9</v>
      </c>
      <c r="AO14" s="72" t="n">
        <f aca="false">SUMIFS(Assumptions!$E$200:$AB$200,Assumptions!$E$187:$AB$187,"&gt;="&amp;AN14,Assumptions!$E$187:$AB$187,"&lt;="&amp;AH14)+MAX(0,AH14-MAX(24,AN14-1))*AVERAGE(Assumptions!$Q$200:$AB$200)</f>
        <v>300</v>
      </c>
      <c r="AP14" s="71" t="n">
        <f aca="false">J14*S14</f>
        <v>523000</v>
      </c>
      <c r="AQ14" s="71" t="str">
        <f aca="false">"n/a"</f>
        <v>n/a</v>
      </c>
      <c r="AR14" s="64" t="n">
        <f aca="false">IFERROR(1-SUMIFS(Inputs_Actuals!$E$50:$AB$50,Assumptions!$E$188:$AB$188,"A")/SUMIFS(Engagements!$E$151:$AB$151,Assumptions!$E$188:$AB$188,"A"),"n/a")</f>
        <v>0.0188507813808367</v>
      </c>
      <c r="AS14" s="64" t="n">
        <f aca="false">MAX(0,IF(ISNUMBER(AR14),AR14,M14)+Assumptions!$F$170)</f>
        <v>0.0288507813808367</v>
      </c>
      <c r="AT14" s="71" t="n">
        <f aca="false">U14+SUMIFS(Inputs_Actuals!$E$50:$AB$50,Assumptions!$E$188:$AB$188,"A")</f>
        <v>401464.96</v>
      </c>
      <c r="AU14" s="71" t="n">
        <f aca="false">V14+SUMIFS(Inputs_Actuals!$E$51:$AB$51,Assumptions!$E$188:$AB$188,"A")</f>
        <v>349902.64</v>
      </c>
    </row>
    <row r="15" customFormat="false" ht="15" hidden="false" customHeight="false" outlineLevel="0" collapsed="false">
      <c r="A15" s="128" t="s">
        <v>774</v>
      </c>
      <c r="B15" s="128" t="s">
        <v>767</v>
      </c>
      <c r="C15" s="128" t="s">
        <v>758</v>
      </c>
      <c r="D15" s="128" t="s">
        <v>1572</v>
      </c>
      <c r="E15" s="128" t="s">
        <v>765</v>
      </c>
      <c r="F15" s="128" t="s">
        <v>1564</v>
      </c>
      <c r="G15" s="128" t="s">
        <v>1566</v>
      </c>
      <c r="H15" s="117" t="n">
        <v>46112</v>
      </c>
      <c r="I15" s="117" t="n">
        <v>46265</v>
      </c>
      <c r="J15" s="105" t="n">
        <v>210000</v>
      </c>
      <c r="K15" s="129" t="n">
        <v>1070</v>
      </c>
      <c r="L15" s="64" t="n">
        <f aca="false">IF(AD15=0,0,1-AE15/AD15)</f>
        <v>0.0500402601984965</v>
      </c>
      <c r="M15" s="127" t="n">
        <v>0</v>
      </c>
      <c r="N15" s="130" t="n">
        <v>10</v>
      </c>
      <c r="O15" s="120" t="n">
        <v>0</v>
      </c>
      <c r="P15" s="127" t="n">
        <v>1</v>
      </c>
      <c r="Q15" s="127" t="n">
        <v>1</v>
      </c>
      <c r="R15" s="127" t="n">
        <v>1</v>
      </c>
      <c r="S15" s="64" t="n">
        <f aca="false">CHOOSE(Assumptions!$C$11,P15,Q15,R15)</f>
        <v>1</v>
      </c>
      <c r="T15" s="129" t="n">
        <v>0</v>
      </c>
      <c r="U15" s="105" t="n">
        <v>0</v>
      </c>
      <c r="V15" s="105" t="n">
        <v>0</v>
      </c>
      <c r="W15" s="105" t="n">
        <v>0</v>
      </c>
      <c r="X15" s="105" t="n">
        <v>0</v>
      </c>
      <c r="Y15" s="64" t="n">
        <f aca="false">INDEX(Assumptions!$C$111:$C$113,MATCH(G15,Assumptions!$B$111:$B$113,0))</f>
        <v>0.08</v>
      </c>
      <c r="Z15" s="64" t="n">
        <f aca="false">INDEX(Assumptions!$D$111:$D$113,MATCH(G15,Assumptions!$B$111:$B$113,0))</f>
        <v>0.08</v>
      </c>
      <c r="AA15" s="64" t="n">
        <f aca="false">INDEX(Assumptions!$E$111:$E$113,MATCH(G15,Assumptions!$B$111:$B$113,0))</f>
        <v>0.19</v>
      </c>
      <c r="AB15" s="64" t="n">
        <f aca="false">INDEX(Assumptions!$F$111:$F$113,MATCH(G15,Assumptions!$B$111:$B$113,0))</f>
        <v>0.31</v>
      </c>
      <c r="AC15" s="64" t="n">
        <f aca="false">INDEX(Assumptions!$G$111:$G$113,MATCH(G15,Assumptions!$B$111:$B$113,0))</f>
        <v>0.34</v>
      </c>
      <c r="AD15" s="112" t="n">
        <f aca="false">Y15*Assumptions!$C$64+Z15*Assumptions!$C$65+AA15*Assumptions!$C$66+AB15*Assumptions!$C$67+AC15*Assumptions!$C$68</f>
        <v>206.6</v>
      </c>
      <c r="AE15" s="112" t="n">
        <f aca="false">IF(K15=0,0,J15/K15)</f>
        <v>196.261682242991</v>
      </c>
      <c r="AF15" s="131" t="n">
        <f aca="false">IF(OR(F15="Contracted",F15="Pipeline",F15="Run-rate"),Assumptions!$F$167,0)</f>
        <v>0</v>
      </c>
      <c r="AG15" s="131" t="n">
        <f aca="false">((YEAR(H15)-YEAR(Assumptions!$C$8))*12+MONTH(H15)-MONTH(Assumptions!$C$8)+1)+AF15</f>
        <v>3</v>
      </c>
      <c r="AH15" s="131" t="n">
        <f aca="false">((YEAR(I15)-YEAR(Assumptions!$C$8))*12+MONTH(I15)-MONTH(Assumptions!$C$8)+1)+AF15</f>
        <v>8</v>
      </c>
      <c r="AI15" s="131" t="n">
        <f aca="false">AG15+ROUND((AH15-AG15)/2,0)</f>
        <v>6</v>
      </c>
      <c r="AJ15" s="72" t="n">
        <f aca="false">T15+SUMIFS(Inputs_Actuals!$E$54:$AB$54,Assumptions!$E$188:$AB$188,"A")</f>
        <v>1040</v>
      </c>
      <c r="AK15" s="72" t="n">
        <f aca="false">IF(OR(F15="Completed",F15="Stopped"),0,IF(OR(F15="Contracted",F15="Pipeline",F15="Run-rate"),K15*S15,N(INDEX(Inputs_Actuals!$E$55:$AB$55,Assumptions!$C$10))))</f>
        <v>0</v>
      </c>
      <c r="AL15" s="64" t="n">
        <f aca="false">IF(OR(E15="TM",F15="Completed",F15="Stopped"),0,Assumptions!$F$169)</f>
        <v>0</v>
      </c>
      <c r="AM15" s="72" t="n">
        <f aca="false">AJ15+AK15*(1+AL15)</f>
        <v>1040</v>
      </c>
      <c r="AN15" s="131" t="n">
        <f aca="false">MAX(AG15,Assumptions!$C$10+1)</f>
        <v>9</v>
      </c>
      <c r="AO15" s="72" t="n">
        <f aca="false">SUMIFS(Assumptions!$E$200:$AB$200,Assumptions!$E$187:$AB$187,"&gt;="&amp;AN15,Assumptions!$E$187:$AB$187,"&lt;="&amp;AH15)+MAX(0,AH15-MAX(24,AN15-1))*AVERAGE(Assumptions!$Q$200:$AB$200)</f>
        <v>0</v>
      </c>
      <c r="AP15" s="71" t="n">
        <f aca="false">J15*S15</f>
        <v>210000</v>
      </c>
      <c r="AQ15" s="71" t="str">
        <f aca="false">"n/a"</f>
        <v>n/a</v>
      </c>
      <c r="AR15" s="64" t="str">
        <f aca="false">"n/a"</f>
        <v>n/a</v>
      </c>
      <c r="AS15" s="64" t="n">
        <f aca="false">0</f>
        <v>0</v>
      </c>
      <c r="AT15" s="71" t="n">
        <f aca="false">U15+SUMIFS(Inputs_Actuals!$E$56:$AB$56,Assumptions!$E$188:$AB$188,"A")</f>
        <v>210000</v>
      </c>
      <c r="AU15" s="71" t="n">
        <f aca="false">V15+SUMIFS(Inputs_Actuals!$E$57:$AB$57,Assumptions!$E$188:$AB$188,"A")</f>
        <v>210000</v>
      </c>
    </row>
    <row r="16" customFormat="false" ht="15" hidden="false" customHeight="false" outlineLevel="0" collapsed="false">
      <c r="A16" s="128" t="s">
        <v>775</v>
      </c>
      <c r="B16" s="128" t="s">
        <v>776</v>
      </c>
      <c r="C16" s="128" t="s">
        <v>754</v>
      </c>
      <c r="D16" s="128" t="s">
        <v>1573</v>
      </c>
      <c r="E16" s="128" t="s">
        <v>759</v>
      </c>
      <c r="F16" s="128" t="s">
        <v>278</v>
      </c>
      <c r="G16" s="128" t="s">
        <v>1562</v>
      </c>
      <c r="H16" s="117" t="n">
        <v>46112</v>
      </c>
      <c r="I16" s="117" t="n">
        <v>46326</v>
      </c>
      <c r="J16" s="105" t="n">
        <v>260000</v>
      </c>
      <c r="K16" s="129" t="n">
        <v>1380</v>
      </c>
      <c r="L16" s="127" t="n">
        <v>0.06</v>
      </c>
      <c r="M16" s="127" t="n">
        <v>0</v>
      </c>
      <c r="N16" s="130" t="n">
        <v>8</v>
      </c>
      <c r="O16" s="120" t="n">
        <v>1</v>
      </c>
      <c r="P16" s="127" t="n">
        <v>1</v>
      </c>
      <c r="Q16" s="127" t="n">
        <v>1</v>
      </c>
      <c r="R16" s="127" t="n">
        <v>1</v>
      </c>
      <c r="S16" s="64" t="n">
        <f aca="false">CHOOSE(Assumptions!$C$11,P16,Q16,R16)</f>
        <v>1</v>
      </c>
      <c r="T16" s="129" t="n">
        <v>0</v>
      </c>
      <c r="U16" s="105" t="n">
        <v>0</v>
      </c>
      <c r="V16" s="105" t="n">
        <v>0</v>
      </c>
      <c r="W16" s="105" t="n">
        <v>0</v>
      </c>
      <c r="X16" s="105" t="n">
        <v>0</v>
      </c>
      <c r="Y16" s="64" t="n">
        <f aca="false">INDEX(Assumptions!$C$111:$C$113,MATCH(G16,Assumptions!$B$111:$B$113,0))</f>
        <v>0.045</v>
      </c>
      <c r="Z16" s="64" t="n">
        <f aca="false">INDEX(Assumptions!$D$111:$D$113,MATCH(G16,Assumptions!$B$111:$B$113,0))</f>
        <v>0.065</v>
      </c>
      <c r="AA16" s="64" t="n">
        <f aca="false">INDEX(Assumptions!$E$111:$E$113,MATCH(G16,Assumptions!$B$111:$B$113,0))</f>
        <v>0.18</v>
      </c>
      <c r="AB16" s="64" t="n">
        <f aca="false">INDEX(Assumptions!$F$111:$F$113,MATCH(G16,Assumptions!$B$111:$B$113,0))</f>
        <v>0.33</v>
      </c>
      <c r="AC16" s="64" t="n">
        <f aca="false">INDEX(Assumptions!$G$111:$G$113,MATCH(G16,Assumptions!$B$111:$B$113,0))</f>
        <v>0.38</v>
      </c>
      <c r="AD16" s="112" t="n">
        <f aca="false">Y16*Assumptions!$C$64+Z16*Assumptions!$C$65+AA16*Assumptions!$C$66+AB16*Assumptions!$C$67+AC16*Assumptions!$C$68</f>
        <v>196.7</v>
      </c>
      <c r="AE16" s="112" t="n">
        <f aca="false">AD16*(1-L16)</f>
        <v>184.898</v>
      </c>
      <c r="AF16" s="131" t="n">
        <f aca="false">IF(OR(F16="Contracted",F16="Pipeline",F16="Run-rate"),Assumptions!$F$167,0)</f>
        <v>0</v>
      </c>
      <c r="AG16" s="131" t="n">
        <f aca="false">((YEAR(H16)-YEAR(Assumptions!$C$8))*12+MONTH(H16)-MONTH(Assumptions!$C$8)+1)+AF16</f>
        <v>3</v>
      </c>
      <c r="AH16" s="131" t="n">
        <f aca="false">((YEAR(I16)-YEAR(Assumptions!$C$8))*12+MONTH(I16)-MONTH(Assumptions!$C$8)+1)+AF16</f>
        <v>10</v>
      </c>
      <c r="AI16" s="131" t="n">
        <f aca="false">AG16+ROUND((AH16-AG16)/2,0)</f>
        <v>7</v>
      </c>
      <c r="AJ16" s="72" t="n">
        <f aca="false">T16+SUMIFS(Inputs_Actuals!$E$59:$AB$59,Assumptions!$E$188:$AB$188,"A")</f>
        <v>1061.2</v>
      </c>
      <c r="AK16" s="72" t="n">
        <f aca="false">IF(OR(F16="Completed",F16="Stopped"),0,IF(OR(F16="Contracted",F16="Pipeline",F16="Run-rate"),K16*S16,N(INDEX(Inputs_Actuals!$E$60:$AB$60,Assumptions!$C$10))))</f>
        <v>388.8</v>
      </c>
      <c r="AL16" s="64" t="n">
        <f aca="false">IF(OR(E16="TM",F16="Completed",F16="Stopped"),0,Assumptions!$F$169)</f>
        <v>0.05</v>
      </c>
      <c r="AM16" s="72" t="n">
        <f aca="false">AJ16+AK16*(1+AL16)</f>
        <v>1469.44</v>
      </c>
      <c r="AN16" s="131" t="n">
        <f aca="false">MAX(AG16,Assumptions!$C$10+1)</f>
        <v>9</v>
      </c>
      <c r="AO16" s="72" t="n">
        <f aca="false">SUMIFS(Assumptions!$E$200:$AB$200,Assumptions!$E$187:$AB$187,"&gt;="&amp;AN16,Assumptions!$E$187:$AB$187,"&lt;="&amp;AH16)+MAX(0,AH16-MAX(24,AN16-1))*AVERAGE(Assumptions!$Q$200:$AB$200)</f>
        <v>300</v>
      </c>
      <c r="AP16" s="71" t="n">
        <f aca="false">J16*S16</f>
        <v>260000</v>
      </c>
      <c r="AQ16" s="71" t="n">
        <f aca="false">INDEX(Engagements!$E$183:$AB$183,24)</f>
        <v>271696.51712</v>
      </c>
      <c r="AR16" s="64" t="str">
        <f aca="false">"n/a"</f>
        <v>n/a</v>
      </c>
      <c r="AS16" s="64" t="n">
        <f aca="false">0</f>
        <v>0</v>
      </c>
      <c r="AT16" s="71" t="n">
        <f aca="false">U16+SUMIFS(Inputs_Actuals!$E$61:$AB$61,Assumptions!$E$188:$AB$188,"A")</f>
        <v>190284.14</v>
      </c>
      <c r="AU16" s="71" t="n">
        <f aca="false">V16+SUMIFS(Inputs_Actuals!$E$62:$AB$62,Assumptions!$E$188:$AB$188,"A")</f>
        <v>165798.04</v>
      </c>
    </row>
    <row r="17" customFormat="false" ht="15" hidden="false" customHeight="false" outlineLevel="0" collapsed="false">
      <c r="A17" s="128" t="s">
        <v>777</v>
      </c>
      <c r="B17" s="128" t="s">
        <v>776</v>
      </c>
      <c r="C17" s="128" t="s">
        <v>762</v>
      </c>
      <c r="D17" s="128" t="s">
        <v>1574</v>
      </c>
      <c r="E17" s="128" t="s">
        <v>765</v>
      </c>
      <c r="F17" s="128" t="s">
        <v>278</v>
      </c>
      <c r="G17" s="128" t="s">
        <v>1566</v>
      </c>
      <c r="H17" s="117" t="n">
        <v>46142</v>
      </c>
      <c r="I17" s="117" t="n">
        <v>46295</v>
      </c>
      <c r="J17" s="105" t="n">
        <v>165000</v>
      </c>
      <c r="K17" s="129" t="n">
        <v>840</v>
      </c>
      <c r="L17" s="64" t="n">
        <f aca="false">IF(AD17=0,0,1-AE17/AD17)</f>
        <v>0.0492324713041075</v>
      </c>
      <c r="M17" s="127" t="n">
        <v>0</v>
      </c>
      <c r="N17" s="130" t="n">
        <v>10</v>
      </c>
      <c r="O17" s="120" t="n">
        <v>0</v>
      </c>
      <c r="P17" s="127" t="n">
        <v>1</v>
      </c>
      <c r="Q17" s="127" t="n">
        <v>1</v>
      </c>
      <c r="R17" s="127" t="n">
        <v>1</v>
      </c>
      <c r="S17" s="64" t="n">
        <f aca="false">CHOOSE(Assumptions!$C$11,P17,Q17,R17)</f>
        <v>1</v>
      </c>
      <c r="T17" s="129" t="n">
        <v>0</v>
      </c>
      <c r="U17" s="105" t="n">
        <v>0</v>
      </c>
      <c r="V17" s="105" t="n">
        <v>0</v>
      </c>
      <c r="W17" s="105" t="n">
        <v>0</v>
      </c>
      <c r="X17" s="105" t="n">
        <v>0</v>
      </c>
      <c r="Y17" s="64" t="n">
        <f aca="false">INDEX(Assumptions!$C$111:$C$113,MATCH(G17,Assumptions!$B$111:$B$113,0))</f>
        <v>0.08</v>
      </c>
      <c r="Z17" s="64" t="n">
        <f aca="false">INDEX(Assumptions!$D$111:$D$113,MATCH(G17,Assumptions!$B$111:$B$113,0))</f>
        <v>0.08</v>
      </c>
      <c r="AA17" s="64" t="n">
        <f aca="false">INDEX(Assumptions!$E$111:$E$113,MATCH(G17,Assumptions!$B$111:$B$113,0))</f>
        <v>0.19</v>
      </c>
      <c r="AB17" s="64" t="n">
        <f aca="false">INDEX(Assumptions!$F$111:$F$113,MATCH(G17,Assumptions!$B$111:$B$113,0))</f>
        <v>0.31</v>
      </c>
      <c r="AC17" s="64" t="n">
        <f aca="false">INDEX(Assumptions!$G$111:$G$113,MATCH(G17,Assumptions!$B$111:$B$113,0))</f>
        <v>0.34</v>
      </c>
      <c r="AD17" s="112" t="n">
        <f aca="false">Y17*Assumptions!$C$64+Z17*Assumptions!$C$65+AA17*Assumptions!$C$66+AB17*Assumptions!$C$67+AC17*Assumptions!$C$68</f>
        <v>206.6</v>
      </c>
      <c r="AE17" s="112" t="n">
        <f aca="false">IF(K17=0,0,J17/K17)</f>
        <v>196.428571428571</v>
      </c>
      <c r="AF17" s="131" t="n">
        <f aca="false">IF(OR(F17="Contracted",F17="Pipeline",F17="Run-rate"),Assumptions!$F$167,0)</f>
        <v>0</v>
      </c>
      <c r="AG17" s="131" t="n">
        <f aca="false">((YEAR(H17)-YEAR(Assumptions!$C$8))*12+MONTH(H17)-MONTH(Assumptions!$C$8)+1)+AF17</f>
        <v>4</v>
      </c>
      <c r="AH17" s="131" t="n">
        <f aca="false">((YEAR(I17)-YEAR(Assumptions!$C$8))*12+MONTH(I17)-MONTH(Assumptions!$C$8)+1)+AF17</f>
        <v>9</v>
      </c>
      <c r="AI17" s="131" t="n">
        <f aca="false">AG17+ROUND((AH17-AG17)/2,0)</f>
        <v>7</v>
      </c>
      <c r="AJ17" s="72" t="n">
        <f aca="false">T17+SUMIFS(Inputs_Actuals!$E$65:$AB$65,Assumptions!$E$188:$AB$188,"A")</f>
        <v>704.9</v>
      </c>
      <c r="AK17" s="72" t="n">
        <f aca="false">IF(OR(F17="Completed",F17="Stopped"),0,IF(OR(F17="Contracted",F17="Pipeline",F17="Run-rate"),K17*S17,N(INDEX(Inputs_Actuals!$E$66:$AB$66,Assumptions!$C$10))))</f>
        <v>175.1</v>
      </c>
      <c r="AL17" s="64" t="n">
        <f aca="false">IF(OR(E17="TM",F17="Completed",F17="Stopped"),0,Assumptions!$F$169)</f>
        <v>0.05</v>
      </c>
      <c r="AM17" s="72" t="n">
        <f aca="false">AJ17+AK17*(1+AL17)</f>
        <v>888.755</v>
      </c>
      <c r="AN17" s="131" t="n">
        <f aca="false">MAX(AG17,Assumptions!$C$10+1)</f>
        <v>9</v>
      </c>
      <c r="AO17" s="72" t="n">
        <f aca="false">SUMIFS(Assumptions!$E$200:$AB$200,Assumptions!$E$187:$AB$187,"&gt;="&amp;AN17,Assumptions!$E$187:$AB$187,"&lt;="&amp;AH17)+MAX(0,AH17-MAX(24,AN17-1))*AVERAGE(Assumptions!$Q$200:$AB$200)</f>
        <v>152.8</v>
      </c>
      <c r="AP17" s="71" t="n">
        <f aca="false">J17*S17</f>
        <v>165000</v>
      </c>
      <c r="AQ17" s="71" t="str">
        <f aca="false">"n/a"</f>
        <v>n/a</v>
      </c>
      <c r="AR17" s="64" t="str">
        <f aca="false">"n/a"</f>
        <v>n/a</v>
      </c>
      <c r="AS17" s="64" t="n">
        <f aca="false">0</f>
        <v>0</v>
      </c>
      <c r="AT17" s="71" t="n">
        <f aca="false">U17+SUMIFS(Inputs_Actuals!$E$67:$AB$67,Assumptions!$E$188:$AB$188,"A")</f>
        <v>132168.75</v>
      </c>
      <c r="AU17" s="71" t="n">
        <f aca="false">V17+SUMIFS(Inputs_Actuals!$E$68:$AB$68,Assumptions!$E$188:$AB$188,"A")</f>
        <v>115500</v>
      </c>
    </row>
    <row r="18" customFormat="false" ht="15" hidden="false" customHeight="false" outlineLevel="0" collapsed="false">
      <c r="A18" s="128" t="s">
        <v>778</v>
      </c>
      <c r="B18" s="128" t="s">
        <v>779</v>
      </c>
      <c r="C18" s="128" t="s">
        <v>758</v>
      </c>
      <c r="D18" s="128" t="s">
        <v>1575</v>
      </c>
      <c r="E18" s="128" t="s">
        <v>755</v>
      </c>
      <c r="F18" s="128" t="s">
        <v>278</v>
      </c>
      <c r="G18" s="128" t="s">
        <v>1562</v>
      </c>
      <c r="H18" s="117" t="n">
        <v>46173</v>
      </c>
      <c r="I18" s="117" t="n">
        <v>46387</v>
      </c>
      <c r="J18" s="105" t="n">
        <v>673000</v>
      </c>
      <c r="K18" s="129" t="n">
        <v>3714</v>
      </c>
      <c r="L18" s="127" t="n">
        <v>0.05</v>
      </c>
      <c r="M18" s="127" t="n">
        <v>0.03</v>
      </c>
      <c r="N18" s="130" t="n">
        <v>14</v>
      </c>
      <c r="O18" s="120" t="n">
        <v>1</v>
      </c>
      <c r="P18" s="127" t="n">
        <v>1</v>
      </c>
      <c r="Q18" s="127" t="n">
        <v>1</v>
      </c>
      <c r="R18" s="127" t="n">
        <v>1</v>
      </c>
      <c r="S18" s="64" t="n">
        <f aca="false">CHOOSE(Assumptions!$C$11,P18,Q18,R18)</f>
        <v>1</v>
      </c>
      <c r="T18" s="129" t="n">
        <v>0</v>
      </c>
      <c r="U18" s="105" t="n">
        <v>0</v>
      </c>
      <c r="V18" s="105" t="n">
        <v>0</v>
      </c>
      <c r="W18" s="105" t="n">
        <v>0</v>
      </c>
      <c r="X18" s="105" t="n">
        <v>0</v>
      </c>
      <c r="Y18" s="64" t="n">
        <f aca="false">INDEX(Assumptions!$C$111:$C$113,MATCH(G18,Assumptions!$B$111:$B$113,0))</f>
        <v>0.045</v>
      </c>
      <c r="Z18" s="64" t="n">
        <f aca="false">INDEX(Assumptions!$D$111:$D$113,MATCH(G18,Assumptions!$B$111:$B$113,0))</f>
        <v>0.065</v>
      </c>
      <c r="AA18" s="64" t="n">
        <f aca="false">INDEX(Assumptions!$E$111:$E$113,MATCH(G18,Assumptions!$B$111:$B$113,0))</f>
        <v>0.18</v>
      </c>
      <c r="AB18" s="64" t="n">
        <f aca="false">INDEX(Assumptions!$F$111:$F$113,MATCH(G18,Assumptions!$B$111:$B$113,0))</f>
        <v>0.33</v>
      </c>
      <c r="AC18" s="64" t="n">
        <f aca="false">INDEX(Assumptions!$G$111:$G$113,MATCH(G18,Assumptions!$B$111:$B$113,0))</f>
        <v>0.38</v>
      </c>
      <c r="AD18" s="112" t="n">
        <f aca="false">Y18*Assumptions!$C$64+Z18*Assumptions!$C$65+AA18*Assumptions!$C$66+AB18*Assumptions!$C$67+AC18*Assumptions!$C$68</f>
        <v>196.7</v>
      </c>
      <c r="AE18" s="112" t="n">
        <f aca="false">AD18*(1-L18)</f>
        <v>186.865</v>
      </c>
      <c r="AF18" s="131" t="n">
        <f aca="false">IF(OR(F18="Contracted",F18="Pipeline",F18="Run-rate"),Assumptions!$F$167,0)</f>
        <v>0</v>
      </c>
      <c r="AG18" s="131" t="n">
        <f aca="false">((YEAR(H18)-YEAR(Assumptions!$C$8))*12+MONTH(H18)-MONTH(Assumptions!$C$8)+1)+AF18</f>
        <v>5</v>
      </c>
      <c r="AH18" s="131" t="n">
        <f aca="false">((YEAR(I18)-YEAR(Assumptions!$C$8))*12+MONTH(I18)-MONTH(Assumptions!$C$8)+1)+AF18</f>
        <v>12</v>
      </c>
      <c r="AI18" s="131" t="n">
        <f aca="false">AG18+ROUND((AH18-AG18)/2,0)</f>
        <v>9</v>
      </c>
      <c r="AJ18" s="72" t="n">
        <f aca="false">T18+SUMIFS(Inputs_Actuals!$E$70:$AB$70,Assumptions!$E$188:$AB$188,"A")</f>
        <v>1709.2</v>
      </c>
      <c r="AK18" s="72" t="n">
        <f aca="false">IF(OR(F18="Completed",F18="Stopped"),0,IF(OR(F18="Contracted",F18="Pipeline",F18="Run-rate"),K18*S18,N(INDEX(Inputs_Actuals!$E$71:$AB$71,Assumptions!$C$10))))</f>
        <v>1955.7</v>
      </c>
      <c r="AL18" s="64" t="n">
        <f aca="false">IF(OR(E18="TM",F18="Completed",F18="Stopped"),0,Assumptions!$F$169)</f>
        <v>0</v>
      </c>
      <c r="AM18" s="72" t="n">
        <f aca="false">AJ18+AK18*(1+AL18)</f>
        <v>3664.9</v>
      </c>
      <c r="AN18" s="131" t="n">
        <f aca="false">MAX(AG18,Assumptions!$C$10+1)</f>
        <v>9</v>
      </c>
      <c r="AO18" s="72" t="n">
        <f aca="false">SUMIFS(Assumptions!$E$200:$AB$200,Assumptions!$E$187:$AB$187,"&gt;="&amp;AN18,Assumptions!$E$187:$AB$187,"&lt;="&amp;AH18)+MAX(0,AH18-MAX(24,AN18-1))*AVERAGE(Assumptions!$Q$200:$AB$200)</f>
        <v>595.2</v>
      </c>
      <c r="AP18" s="71" t="n">
        <f aca="false">J18*S18</f>
        <v>673000</v>
      </c>
      <c r="AQ18" s="71" t="str">
        <f aca="false">"n/a"</f>
        <v>n/a</v>
      </c>
      <c r="AR18" s="64" t="n">
        <f aca="false">IFERROR(1-SUMIFS(Inputs_Actuals!$E$72:$AB$72,Assumptions!$E$188:$AB$188,"A")/SUMIFS(Engagements!$E$214:$AB$214,Assumptions!$E$188:$AB$188,"A"),"n/a")</f>
        <v>0.0257396812767183</v>
      </c>
      <c r="AS18" s="64" t="n">
        <f aca="false">MAX(0,IF(ISNUMBER(AR18),AR18,M18)+Assumptions!$F$170)</f>
        <v>0.0357396812767183</v>
      </c>
      <c r="AT18" s="71" t="n">
        <f aca="false">U18+SUMIFS(Inputs_Actuals!$E$72:$AB$72,Assumptions!$E$188:$AB$188,"A")</f>
        <v>311168.67</v>
      </c>
      <c r="AU18" s="71" t="n">
        <f aca="false">V18+SUMIFS(Inputs_Actuals!$E$73:$AB$73,Assumptions!$E$188:$AB$188,"A")</f>
        <v>235565.85</v>
      </c>
    </row>
    <row r="19" customFormat="false" ht="15" hidden="false" customHeight="false" outlineLevel="0" collapsed="false">
      <c r="A19" s="128" t="s">
        <v>780</v>
      </c>
      <c r="B19" s="128" t="s">
        <v>781</v>
      </c>
      <c r="C19" s="128" t="s">
        <v>758</v>
      </c>
      <c r="D19" s="128" t="s">
        <v>1576</v>
      </c>
      <c r="E19" s="128" t="s">
        <v>765</v>
      </c>
      <c r="F19" s="128" t="s">
        <v>278</v>
      </c>
      <c r="G19" s="128" t="s">
        <v>1566</v>
      </c>
      <c r="H19" s="117" t="n">
        <v>46203</v>
      </c>
      <c r="I19" s="117" t="n">
        <v>46356</v>
      </c>
      <c r="J19" s="105" t="n">
        <v>180000</v>
      </c>
      <c r="K19" s="129" t="n">
        <v>910</v>
      </c>
      <c r="L19" s="64" t="n">
        <f aca="false">IF(AD19=0,0,1-AE19/AD19)</f>
        <v>0.042583747327213</v>
      </c>
      <c r="M19" s="127" t="n">
        <v>0</v>
      </c>
      <c r="N19" s="130" t="n">
        <v>20</v>
      </c>
      <c r="O19" s="120" t="n">
        <v>0</v>
      </c>
      <c r="P19" s="127" t="n">
        <v>1</v>
      </c>
      <c r="Q19" s="127" t="n">
        <v>1</v>
      </c>
      <c r="R19" s="127" t="n">
        <v>1</v>
      </c>
      <c r="S19" s="64" t="n">
        <f aca="false">CHOOSE(Assumptions!$C$11,P19,Q19,R19)</f>
        <v>1</v>
      </c>
      <c r="T19" s="129" t="n">
        <v>0</v>
      </c>
      <c r="U19" s="105" t="n">
        <v>0</v>
      </c>
      <c r="V19" s="105" t="n">
        <v>0</v>
      </c>
      <c r="W19" s="105" t="n">
        <v>0</v>
      </c>
      <c r="X19" s="105" t="n">
        <v>0</v>
      </c>
      <c r="Y19" s="64" t="n">
        <f aca="false">INDEX(Assumptions!$C$111:$C$113,MATCH(G19,Assumptions!$B$111:$B$113,0))</f>
        <v>0.08</v>
      </c>
      <c r="Z19" s="64" t="n">
        <f aca="false">INDEX(Assumptions!$D$111:$D$113,MATCH(G19,Assumptions!$B$111:$B$113,0))</f>
        <v>0.08</v>
      </c>
      <c r="AA19" s="64" t="n">
        <f aca="false">INDEX(Assumptions!$E$111:$E$113,MATCH(G19,Assumptions!$B$111:$B$113,0))</f>
        <v>0.19</v>
      </c>
      <c r="AB19" s="64" t="n">
        <f aca="false">INDEX(Assumptions!$F$111:$F$113,MATCH(G19,Assumptions!$B$111:$B$113,0))</f>
        <v>0.31</v>
      </c>
      <c r="AC19" s="64" t="n">
        <f aca="false">INDEX(Assumptions!$G$111:$G$113,MATCH(G19,Assumptions!$B$111:$B$113,0))</f>
        <v>0.34</v>
      </c>
      <c r="AD19" s="112" t="n">
        <f aca="false">Y19*Assumptions!$C$64+Z19*Assumptions!$C$65+AA19*Assumptions!$C$66+AB19*Assumptions!$C$67+AC19*Assumptions!$C$68</f>
        <v>206.6</v>
      </c>
      <c r="AE19" s="112" t="n">
        <f aca="false">IF(K19=0,0,J19/K19)</f>
        <v>197.802197802198</v>
      </c>
      <c r="AF19" s="131" t="n">
        <f aca="false">IF(OR(F19="Contracted",F19="Pipeline",F19="Run-rate"),Assumptions!$F$167,0)</f>
        <v>0</v>
      </c>
      <c r="AG19" s="131" t="n">
        <f aca="false">((YEAR(H19)-YEAR(Assumptions!$C$8))*12+MONTH(H19)-MONTH(Assumptions!$C$8)+1)+AF19</f>
        <v>6</v>
      </c>
      <c r="AH19" s="131" t="n">
        <f aca="false">((YEAR(I19)-YEAR(Assumptions!$C$8))*12+MONTH(I19)-MONTH(Assumptions!$C$8)+1)+AF19</f>
        <v>11</v>
      </c>
      <c r="AI19" s="131" t="n">
        <f aca="false">AG19+ROUND((AH19-AG19)/2,0)</f>
        <v>9</v>
      </c>
      <c r="AJ19" s="72" t="n">
        <f aca="false">T19+SUMIFS(Inputs_Actuals!$E$76:$AB$76,Assumptions!$E$188:$AB$188,"A")</f>
        <v>440.7</v>
      </c>
      <c r="AK19" s="72" t="n">
        <f aca="false">IF(OR(F19="Completed",F19="Stopped"),0,IF(OR(F19="Contracted",F19="Pipeline",F19="Run-rate"),K19*S19,N(INDEX(Inputs_Actuals!$E$77:$AB$77,Assumptions!$C$10))))</f>
        <v>469.3</v>
      </c>
      <c r="AL19" s="64" t="n">
        <f aca="false">IF(OR(E19="TM",F19="Completed",F19="Stopped"),0,Assumptions!$F$169)</f>
        <v>0.05</v>
      </c>
      <c r="AM19" s="72" t="n">
        <f aca="false">AJ19+AK19*(1+AL19)</f>
        <v>933.465</v>
      </c>
      <c r="AN19" s="131" t="n">
        <f aca="false">MAX(AG19,Assumptions!$C$10+1)</f>
        <v>9</v>
      </c>
      <c r="AO19" s="72" t="n">
        <f aca="false">SUMIFS(Assumptions!$E$200:$AB$200,Assumptions!$E$187:$AB$187,"&gt;="&amp;AN19,Assumptions!$E$187:$AB$187,"&lt;="&amp;AH19)+MAX(0,AH19-MAX(24,AN19-1))*AVERAGE(Assumptions!$Q$200:$AB$200)</f>
        <v>445.6</v>
      </c>
      <c r="AP19" s="71" t="n">
        <f aca="false">J19*S19</f>
        <v>180000</v>
      </c>
      <c r="AQ19" s="71" t="str">
        <f aca="false">"n/a"</f>
        <v>n/a</v>
      </c>
      <c r="AR19" s="64" t="str">
        <f aca="false">"n/a"</f>
        <v>n/a</v>
      </c>
      <c r="AS19" s="64" t="n">
        <f aca="false">0</f>
        <v>0</v>
      </c>
      <c r="AT19" s="71" t="n">
        <f aca="false">U19+SUMIFS(Inputs_Actuals!$E$78:$AB$78,Assumptions!$E$188:$AB$188,"A")</f>
        <v>87171.43</v>
      </c>
      <c r="AU19" s="71" t="n">
        <f aca="false">V19+SUMIFS(Inputs_Actuals!$E$79:$AB$79,Assumptions!$E$188:$AB$188,"A")</f>
        <v>54000</v>
      </c>
    </row>
    <row r="20" customFormat="false" ht="15" hidden="false" customHeight="false" outlineLevel="0" collapsed="false">
      <c r="A20" s="128" t="s">
        <v>782</v>
      </c>
      <c r="B20" s="128" t="s">
        <v>761</v>
      </c>
      <c r="C20" s="128" t="s">
        <v>762</v>
      </c>
      <c r="D20" s="128" t="s">
        <v>1577</v>
      </c>
      <c r="E20" s="128" t="s">
        <v>759</v>
      </c>
      <c r="F20" s="128" t="s">
        <v>278</v>
      </c>
      <c r="G20" s="128" t="s">
        <v>1562</v>
      </c>
      <c r="H20" s="117" t="n">
        <v>46234</v>
      </c>
      <c r="I20" s="117" t="n">
        <v>46446</v>
      </c>
      <c r="J20" s="105" t="n">
        <v>430000</v>
      </c>
      <c r="K20" s="129" t="n">
        <v>2300</v>
      </c>
      <c r="L20" s="127" t="n">
        <v>0.07</v>
      </c>
      <c r="M20" s="127" t="n">
        <v>0</v>
      </c>
      <c r="N20" s="130" t="n">
        <v>10</v>
      </c>
      <c r="O20" s="120" t="n">
        <v>1</v>
      </c>
      <c r="P20" s="127" t="n">
        <v>1</v>
      </c>
      <c r="Q20" s="127" t="n">
        <v>1</v>
      </c>
      <c r="R20" s="127" t="n">
        <v>1</v>
      </c>
      <c r="S20" s="64" t="n">
        <f aca="false">CHOOSE(Assumptions!$C$11,P20,Q20,R20)</f>
        <v>1</v>
      </c>
      <c r="T20" s="129" t="n">
        <v>0</v>
      </c>
      <c r="U20" s="105" t="n">
        <v>0</v>
      </c>
      <c r="V20" s="105" t="n">
        <v>0</v>
      </c>
      <c r="W20" s="105" t="n">
        <v>0</v>
      </c>
      <c r="X20" s="105" t="n">
        <v>0</v>
      </c>
      <c r="Y20" s="64" t="n">
        <f aca="false">INDEX(Assumptions!$C$111:$C$113,MATCH(G20,Assumptions!$B$111:$B$113,0))</f>
        <v>0.045</v>
      </c>
      <c r="Z20" s="64" t="n">
        <f aca="false">INDEX(Assumptions!$D$111:$D$113,MATCH(G20,Assumptions!$B$111:$B$113,0))</f>
        <v>0.065</v>
      </c>
      <c r="AA20" s="64" t="n">
        <f aca="false">INDEX(Assumptions!$E$111:$E$113,MATCH(G20,Assumptions!$B$111:$B$113,0))</f>
        <v>0.18</v>
      </c>
      <c r="AB20" s="64" t="n">
        <f aca="false">INDEX(Assumptions!$F$111:$F$113,MATCH(G20,Assumptions!$B$111:$B$113,0))</f>
        <v>0.33</v>
      </c>
      <c r="AC20" s="64" t="n">
        <f aca="false">INDEX(Assumptions!$G$111:$G$113,MATCH(G20,Assumptions!$B$111:$B$113,0))</f>
        <v>0.38</v>
      </c>
      <c r="AD20" s="112" t="n">
        <f aca="false">Y20*Assumptions!$C$64+Z20*Assumptions!$C$65+AA20*Assumptions!$C$66+AB20*Assumptions!$C$67+AC20*Assumptions!$C$68</f>
        <v>196.7</v>
      </c>
      <c r="AE20" s="112" t="n">
        <f aca="false">AD20*(1-L20)</f>
        <v>182.931</v>
      </c>
      <c r="AF20" s="131" t="n">
        <f aca="false">IF(OR(F20="Contracted",F20="Pipeline",F20="Run-rate"),Assumptions!$F$167,0)</f>
        <v>0</v>
      </c>
      <c r="AG20" s="131" t="n">
        <f aca="false">((YEAR(H20)-YEAR(Assumptions!$C$8))*12+MONTH(H20)-MONTH(Assumptions!$C$8)+1)+AF20</f>
        <v>7</v>
      </c>
      <c r="AH20" s="131" t="n">
        <f aca="false">((YEAR(I20)-YEAR(Assumptions!$C$8))*12+MONTH(I20)-MONTH(Assumptions!$C$8)+1)+AF20</f>
        <v>14</v>
      </c>
      <c r="AI20" s="131" t="n">
        <f aca="false">AG20+ROUND((AH20-AG20)/2,0)</f>
        <v>11</v>
      </c>
      <c r="AJ20" s="72" t="n">
        <f aca="false">T20+SUMIFS(Inputs_Actuals!$E$81:$AB$81,Assumptions!$E$188:$AB$188,"A")</f>
        <v>561.3</v>
      </c>
      <c r="AK20" s="72" t="n">
        <f aca="false">IF(OR(F20="Completed",F20="Stopped"),0,IF(OR(F20="Contracted",F20="Pipeline",F20="Run-rate"),K20*S20,N(INDEX(Inputs_Actuals!$E$82:$AB$82,Assumptions!$C$10))))</f>
        <v>1738.7</v>
      </c>
      <c r="AL20" s="64" t="n">
        <f aca="false">IF(OR(E20="TM",F20="Completed",F20="Stopped"),0,Assumptions!$F$169)</f>
        <v>0.05</v>
      </c>
      <c r="AM20" s="72" t="n">
        <f aca="false">AJ20+AK20*(1+AL20)</f>
        <v>2386.935</v>
      </c>
      <c r="AN20" s="131" t="n">
        <f aca="false">MAX(AG20,Assumptions!$C$10+1)</f>
        <v>9</v>
      </c>
      <c r="AO20" s="72" t="n">
        <f aca="false">SUMIFS(Assumptions!$E$200:$AB$200,Assumptions!$E$187:$AB$187,"&gt;="&amp;AN20,Assumptions!$E$187:$AB$187,"&lt;="&amp;AH20)+MAX(0,AH20-MAX(24,AN20-1))*AVERAGE(Assumptions!$Q$200:$AB$200)</f>
        <v>855.2</v>
      </c>
      <c r="AP20" s="71" t="n">
        <f aca="false">J20*S20</f>
        <v>430000</v>
      </c>
      <c r="AQ20" s="71" t="n">
        <f aca="false">INDEX(Engagements!$E$246:$AB$246,24)</f>
        <v>440705.723669663</v>
      </c>
      <c r="AR20" s="64" t="str">
        <f aca="false">"n/a"</f>
        <v>n/a</v>
      </c>
      <c r="AS20" s="64" t="n">
        <f aca="false">0</f>
        <v>0</v>
      </c>
      <c r="AT20" s="71" t="n">
        <f aca="false">U20+SUMIFS(Inputs_Actuals!$E$83:$AB$83,Assumptions!$E$188:$AB$188,"A")</f>
        <v>102679.17</v>
      </c>
      <c r="AU20" s="71" t="n">
        <f aca="false">V20+SUMIFS(Inputs_Actuals!$E$84:$AB$84,Assumptions!$E$188:$AB$188,"A")</f>
        <v>57019.59</v>
      </c>
    </row>
    <row r="21" customFormat="false" ht="15" hidden="false" customHeight="false" outlineLevel="0" collapsed="false">
      <c r="A21" s="128" t="s">
        <v>783</v>
      </c>
      <c r="B21" s="128" t="s">
        <v>771</v>
      </c>
      <c r="C21" s="128" t="s">
        <v>754</v>
      </c>
      <c r="D21" s="128" t="s">
        <v>1578</v>
      </c>
      <c r="E21" s="128" t="s">
        <v>765</v>
      </c>
      <c r="F21" s="128" t="s">
        <v>278</v>
      </c>
      <c r="G21" s="128" t="s">
        <v>1566</v>
      </c>
      <c r="H21" s="117" t="n">
        <v>46234</v>
      </c>
      <c r="I21" s="117" t="n">
        <v>46295</v>
      </c>
      <c r="J21" s="105" t="n">
        <v>90000</v>
      </c>
      <c r="K21" s="129" t="n">
        <v>440</v>
      </c>
      <c r="L21" s="64" t="n">
        <f aca="false">IF(AD21=0,0,1-AE21/AD21)</f>
        <v>0.00994455689518625</v>
      </c>
      <c r="M21" s="127" t="n">
        <v>0</v>
      </c>
      <c r="N21" s="130" t="n">
        <v>8</v>
      </c>
      <c r="O21" s="120" t="n">
        <v>0</v>
      </c>
      <c r="P21" s="127" t="n">
        <v>1</v>
      </c>
      <c r="Q21" s="127" t="n">
        <v>1</v>
      </c>
      <c r="R21" s="127" t="n">
        <v>1</v>
      </c>
      <c r="S21" s="64" t="n">
        <f aca="false">CHOOSE(Assumptions!$C$11,P21,Q21,R21)</f>
        <v>1</v>
      </c>
      <c r="T21" s="129" t="n">
        <v>0</v>
      </c>
      <c r="U21" s="105" t="n">
        <v>0</v>
      </c>
      <c r="V21" s="105" t="n">
        <v>0</v>
      </c>
      <c r="W21" s="105" t="n">
        <v>0</v>
      </c>
      <c r="X21" s="105" t="n">
        <v>0</v>
      </c>
      <c r="Y21" s="64" t="n">
        <f aca="false">INDEX(Assumptions!$C$111:$C$113,MATCH(G21,Assumptions!$B$111:$B$113,0))</f>
        <v>0.08</v>
      </c>
      <c r="Z21" s="64" t="n">
        <f aca="false">INDEX(Assumptions!$D$111:$D$113,MATCH(G21,Assumptions!$B$111:$B$113,0))</f>
        <v>0.08</v>
      </c>
      <c r="AA21" s="64" t="n">
        <f aca="false">INDEX(Assumptions!$E$111:$E$113,MATCH(G21,Assumptions!$B$111:$B$113,0))</f>
        <v>0.19</v>
      </c>
      <c r="AB21" s="64" t="n">
        <f aca="false">INDEX(Assumptions!$F$111:$F$113,MATCH(G21,Assumptions!$B$111:$B$113,0))</f>
        <v>0.31</v>
      </c>
      <c r="AC21" s="64" t="n">
        <f aca="false">INDEX(Assumptions!$G$111:$G$113,MATCH(G21,Assumptions!$B$111:$B$113,0))</f>
        <v>0.34</v>
      </c>
      <c r="AD21" s="112" t="n">
        <f aca="false">Y21*Assumptions!$C$64+Z21*Assumptions!$C$65+AA21*Assumptions!$C$66+AB21*Assumptions!$C$67+AC21*Assumptions!$C$68</f>
        <v>206.6</v>
      </c>
      <c r="AE21" s="112" t="n">
        <f aca="false">IF(K21=0,0,J21/K21)</f>
        <v>204.545454545455</v>
      </c>
      <c r="AF21" s="131" t="n">
        <f aca="false">IF(OR(F21="Contracted",F21="Pipeline",F21="Run-rate"),Assumptions!$F$167,0)</f>
        <v>0</v>
      </c>
      <c r="AG21" s="131" t="n">
        <f aca="false">((YEAR(H21)-YEAR(Assumptions!$C$8))*12+MONTH(H21)-MONTH(Assumptions!$C$8)+1)+AF21</f>
        <v>7</v>
      </c>
      <c r="AH21" s="131" t="n">
        <f aca="false">((YEAR(I21)-YEAR(Assumptions!$C$8))*12+MONTH(I21)-MONTH(Assumptions!$C$8)+1)+AF21</f>
        <v>9</v>
      </c>
      <c r="AI21" s="131" t="n">
        <f aca="false">AG21+ROUND((AH21-AG21)/2,0)</f>
        <v>8</v>
      </c>
      <c r="AJ21" s="72" t="n">
        <f aca="false">T21+SUMIFS(Inputs_Actuals!$E$87:$AB$87,Assumptions!$E$188:$AB$188,"A")</f>
        <v>286.5</v>
      </c>
      <c r="AK21" s="72" t="n">
        <f aca="false">IF(OR(F21="Completed",F21="Stopped"),0,IF(OR(F21="Contracted",F21="Pipeline",F21="Run-rate"),K21*S21,N(INDEX(Inputs_Actuals!$E$88:$AB$88,Assumptions!$C$10))))</f>
        <v>183.5</v>
      </c>
      <c r="AL21" s="64" t="n">
        <f aca="false">IF(OR(E21="TM",F21="Completed",F21="Stopped"),0,Assumptions!$F$169)</f>
        <v>0.05</v>
      </c>
      <c r="AM21" s="72" t="n">
        <f aca="false">AJ21+AK21*(1+AL21)</f>
        <v>479.175</v>
      </c>
      <c r="AN21" s="131" t="n">
        <f aca="false">MAX(AG21,Assumptions!$C$10+1)</f>
        <v>9</v>
      </c>
      <c r="AO21" s="72" t="n">
        <f aca="false">SUMIFS(Assumptions!$E$200:$AB$200,Assumptions!$E$187:$AB$187,"&gt;="&amp;AN21,Assumptions!$E$187:$AB$187,"&lt;="&amp;AH21)+MAX(0,AH21-MAX(24,AN21-1))*AVERAGE(Assumptions!$Q$200:$AB$200)</f>
        <v>152.8</v>
      </c>
      <c r="AP21" s="71" t="n">
        <f aca="false">J21*S21</f>
        <v>90000</v>
      </c>
      <c r="AQ21" s="71" t="str">
        <f aca="false">"n/a"</f>
        <v>n/a</v>
      </c>
      <c r="AR21" s="64" t="str">
        <f aca="false">"n/a"</f>
        <v>n/a</v>
      </c>
      <c r="AS21" s="64" t="n">
        <f aca="false">0</f>
        <v>0</v>
      </c>
      <c r="AT21" s="71" t="n">
        <f aca="false">U21+SUMIFS(Inputs_Actuals!$E$89:$AB$89,Assumptions!$E$188:$AB$188,"A")</f>
        <v>54861.7</v>
      </c>
      <c r="AU21" s="71" t="n">
        <f aca="false">V21+SUMIFS(Inputs_Actuals!$E$90:$AB$90,Assumptions!$E$188:$AB$188,"A")</f>
        <v>63000</v>
      </c>
    </row>
    <row r="22" customFormat="false" ht="15" hidden="false" customHeight="false" outlineLevel="0" collapsed="false">
      <c r="A22" s="128" t="s">
        <v>784</v>
      </c>
      <c r="B22" s="128" t="s">
        <v>757</v>
      </c>
      <c r="C22" s="128" t="s">
        <v>758</v>
      </c>
      <c r="D22" s="128" t="s">
        <v>1579</v>
      </c>
      <c r="E22" s="128" t="s">
        <v>765</v>
      </c>
      <c r="F22" s="128" t="s">
        <v>278</v>
      </c>
      <c r="G22" s="128" t="s">
        <v>1566</v>
      </c>
      <c r="H22" s="117" t="n">
        <v>46265</v>
      </c>
      <c r="I22" s="117" t="n">
        <v>46326</v>
      </c>
      <c r="J22" s="105" t="n">
        <v>95000</v>
      </c>
      <c r="K22" s="129" t="n">
        <v>480</v>
      </c>
      <c r="L22" s="64" t="n">
        <f aca="false">IF(AD22=0,0,1-AE22/AD22)</f>
        <v>0.0420296869958052</v>
      </c>
      <c r="M22" s="127" t="n">
        <v>0</v>
      </c>
      <c r="N22" s="130" t="n">
        <v>12</v>
      </c>
      <c r="O22" s="120" t="n">
        <v>0</v>
      </c>
      <c r="P22" s="127" t="n">
        <v>1</v>
      </c>
      <c r="Q22" s="127" t="n">
        <v>1</v>
      </c>
      <c r="R22" s="127" t="n">
        <v>1</v>
      </c>
      <c r="S22" s="64" t="n">
        <f aca="false">CHOOSE(Assumptions!$C$11,P22,Q22,R22)</f>
        <v>1</v>
      </c>
      <c r="T22" s="129" t="n">
        <v>0</v>
      </c>
      <c r="U22" s="105" t="n">
        <v>0</v>
      </c>
      <c r="V22" s="105" t="n">
        <v>0</v>
      </c>
      <c r="W22" s="105" t="n">
        <v>0</v>
      </c>
      <c r="X22" s="105" t="n">
        <v>0</v>
      </c>
      <c r="Y22" s="64" t="n">
        <f aca="false">INDEX(Assumptions!$C$111:$C$113,MATCH(G22,Assumptions!$B$111:$B$113,0))</f>
        <v>0.08</v>
      </c>
      <c r="Z22" s="64" t="n">
        <f aca="false">INDEX(Assumptions!$D$111:$D$113,MATCH(G22,Assumptions!$B$111:$B$113,0))</f>
        <v>0.08</v>
      </c>
      <c r="AA22" s="64" t="n">
        <f aca="false">INDEX(Assumptions!$E$111:$E$113,MATCH(G22,Assumptions!$B$111:$B$113,0))</f>
        <v>0.19</v>
      </c>
      <c r="AB22" s="64" t="n">
        <f aca="false">INDEX(Assumptions!$F$111:$F$113,MATCH(G22,Assumptions!$B$111:$B$113,0))</f>
        <v>0.31</v>
      </c>
      <c r="AC22" s="64" t="n">
        <f aca="false">INDEX(Assumptions!$G$111:$G$113,MATCH(G22,Assumptions!$B$111:$B$113,0))</f>
        <v>0.34</v>
      </c>
      <c r="AD22" s="112" t="n">
        <f aca="false">Y22*Assumptions!$C$64+Z22*Assumptions!$C$65+AA22*Assumptions!$C$66+AB22*Assumptions!$C$67+AC22*Assumptions!$C$68</f>
        <v>206.6</v>
      </c>
      <c r="AE22" s="112" t="n">
        <f aca="false">IF(K22=0,0,J22/K22)</f>
        <v>197.916666666667</v>
      </c>
      <c r="AF22" s="131" t="n">
        <f aca="false">IF(OR(F22="Contracted",F22="Pipeline",F22="Run-rate"),Assumptions!$F$167,0)</f>
        <v>0</v>
      </c>
      <c r="AG22" s="131" t="n">
        <f aca="false">((YEAR(H22)-YEAR(Assumptions!$C$8))*12+MONTH(H22)-MONTH(Assumptions!$C$8)+1)+AF22</f>
        <v>8</v>
      </c>
      <c r="AH22" s="131" t="n">
        <f aca="false">((YEAR(I22)-YEAR(Assumptions!$C$8))*12+MONTH(I22)-MONTH(Assumptions!$C$8)+1)+AF22</f>
        <v>10</v>
      </c>
      <c r="AI22" s="131" t="n">
        <f aca="false">AG22+ROUND((AH22-AG22)/2,0)</f>
        <v>9</v>
      </c>
      <c r="AJ22" s="72" t="n">
        <f aca="false">T22+SUMIFS(Inputs_Actuals!$E$92:$AB$92,Assumptions!$E$188:$AB$188,"A")</f>
        <v>138.3</v>
      </c>
      <c r="AK22" s="72" t="n">
        <f aca="false">IF(OR(F22="Completed",F22="Stopped"),0,IF(OR(F22="Contracted",F22="Pipeline",F22="Run-rate"),K22*S22,N(INDEX(Inputs_Actuals!$E$93:$AB$93,Assumptions!$C$10))))</f>
        <v>341.7</v>
      </c>
      <c r="AL22" s="64" t="n">
        <f aca="false">IF(OR(E22="TM",F22="Completed",F22="Stopped"),0,Assumptions!$F$169)</f>
        <v>0.05</v>
      </c>
      <c r="AM22" s="72" t="n">
        <f aca="false">AJ22+AK22*(1+AL22)</f>
        <v>497.085</v>
      </c>
      <c r="AN22" s="131" t="n">
        <f aca="false">MAX(AG22,Assumptions!$C$10+1)</f>
        <v>9</v>
      </c>
      <c r="AO22" s="72" t="n">
        <f aca="false">SUMIFS(Assumptions!$E$200:$AB$200,Assumptions!$E$187:$AB$187,"&gt;="&amp;AN22,Assumptions!$E$187:$AB$187,"&lt;="&amp;AH22)+MAX(0,AH22-MAX(24,AN22-1))*AVERAGE(Assumptions!$Q$200:$AB$200)</f>
        <v>300</v>
      </c>
      <c r="AP22" s="71" t="n">
        <f aca="false">J22*S22</f>
        <v>95000</v>
      </c>
      <c r="AQ22" s="71" t="str">
        <f aca="false">"n/a"</f>
        <v>n/a</v>
      </c>
      <c r="AR22" s="64" t="str">
        <f aca="false">"n/a"</f>
        <v>n/a</v>
      </c>
      <c r="AS22" s="64" t="n">
        <f aca="false">0</f>
        <v>0</v>
      </c>
      <c r="AT22" s="71" t="n">
        <f aca="false">U22+SUMIFS(Inputs_Actuals!$E$94:$AB$94,Assumptions!$E$188:$AB$188,"A")</f>
        <v>27371.88</v>
      </c>
      <c r="AU22" s="71" t="n">
        <f aca="false">V22+SUMIFS(Inputs_Actuals!$E$95:$AB$95,Assumptions!$E$188:$AB$188,"A")</f>
        <v>28500</v>
      </c>
    </row>
    <row r="23" customFormat="false" ht="15" hidden="false" customHeight="false" outlineLevel="0" collapsed="false">
      <c r="A23" s="128" t="s">
        <v>785</v>
      </c>
      <c r="B23" s="128" t="s">
        <v>786</v>
      </c>
      <c r="C23" s="128" t="s">
        <v>758</v>
      </c>
      <c r="D23" s="128" t="s">
        <v>1580</v>
      </c>
      <c r="E23" s="128" t="s">
        <v>755</v>
      </c>
      <c r="F23" s="128" t="s">
        <v>1564</v>
      </c>
      <c r="G23" s="128" t="s">
        <v>1562</v>
      </c>
      <c r="H23" s="117" t="n">
        <v>46053</v>
      </c>
      <c r="I23" s="117" t="n">
        <v>46203</v>
      </c>
      <c r="J23" s="105" t="n">
        <v>393000</v>
      </c>
      <c r="K23" s="129" t="n">
        <v>2191</v>
      </c>
      <c r="L23" s="127" t="n">
        <v>0.06</v>
      </c>
      <c r="M23" s="127" t="n">
        <v>0.03</v>
      </c>
      <c r="N23" s="130" t="n">
        <v>12</v>
      </c>
      <c r="O23" s="120" t="n">
        <v>1</v>
      </c>
      <c r="P23" s="127" t="n">
        <v>1</v>
      </c>
      <c r="Q23" s="127" t="n">
        <v>1</v>
      </c>
      <c r="R23" s="127" t="n">
        <v>1</v>
      </c>
      <c r="S23" s="64" t="n">
        <f aca="false">CHOOSE(Assumptions!$C$11,P23,Q23,R23)</f>
        <v>1</v>
      </c>
      <c r="T23" s="129" t="n">
        <v>0</v>
      </c>
      <c r="U23" s="105" t="n">
        <v>0</v>
      </c>
      <c r="V23" s="105" t="n">
        <v>0</v>
      </c>
      <c r="W23" s="105" t="n">
        <v>0</v>
      </c>
      <c r="X23" s="105" t="n">
        <v>0</v>
      </c>
      <c r="Y23" s="64" t="n">
        <f aca="false">INDEX(Assumptions!$C$111:$C$113,MATCH(G23,Assumptions!$B$111:$B$113,0))</f>
        <v>0.045</v>
      </c>
      <c r="Z23" s="64" t="n">
        <f aca="false">INDEX(Assumptions!$D$111:$D$113,MATCH(G23,Assumptions!$B$111:$B$113,0))</f>
        <v>0.065</v>
      </c>
      <c r="AA23" s="64" t="n">
        <f aca="false">INDEX(Assumptions!$E$111:$E$113,MATCH(G23,Assumptions!$B$111:$B$113,0))</f>
        <v>0.18</v>
      </c>
      <c r="AB23" s="64" t="n">
        <f aca="false">INDEX(Assumptions!$F$111:$F$113,MATCH(G23,Assumptions!$B$111:$B$113,0))</f>
        <v>0.33</v>
      </c>
      <c r="AC23" s="64" t="n">
        <f aca="false">INDEX(Assumptions!$G$111:$G$113,MATCH(G23,Assumptions!$B$111:$B$113,0))</f>
        <v>0.38</v>
      </c>
      <c r="AD23" s="112" t="n">
        <f aca="false">Y23*Assumptions!$C$64+Z23*Assumptions!$C$65+AA23*Assumptions!$C$66+AB23*Assumptions!$C$67+AC23*Assumptions!$C$68</f>
        <v>196.7</v>
      </c>
      <c r="AE23" s="112" t="n">
        <f aca="false">AD23*(1-L23)</f>
        <v>184.898</v>
      </c>
      <c r="AF23" s="131" t="n">
        <f aca="false">IF(OR(F23="Contracted",F23="Pipeline",F23="Run-rate"),Assumptions!$F$167,0)</f>
        <v>0</v>
      </c>
      <c r="AG23" s="131" t="n">
        <f aca="false">((YEAR(H23)-YEAR(Assumptions!$C$8))*12+MONTH(H23)-MONTH(Assumptions!$C$8)+1)+AF23</f>
        <v>1</v>
      </c>
      <c r="AH23" s="131" t="n">
        <f aca="false">((YEAR(I23)-YEAR(Assumptions!$C$8))*12+MONTH(I23)-MONTH(Assumptions!$C$8)+1)+AF23</f>
        <v>6</v>
      </c>
      <c r="AI23" s="131" t="n">
        <f aca="false">AG23+ROUND((AH23-AG23)/2,0)</f>
        <v>4</v>
      </c>
      <c r="AJ23" s="72" t="n">
        <f aca="false">T23+SUMIFS(Inputs_Actuals!$E$97:$AB$97,Assumptions!$E$188:$AB$188,"A")</f>
        <v>2183.2</v>
      </c>
      <c r="AK23" s="72" t="n">
        <f aca="false">IF(OR(F23="Completed",F23="Stopped"),0,IF(OR(F23="Contracted",F23="Pipeline",F23="Run-rate"),K23*S23,N(INDEX(Inputs_Actuals!$E$98:$AB$98,Assumptions!$C$10))))</f>
        <v>0</v>
      </c>
      <c r="AL23" s="64" t="n">
        <f aca="false">IF(OR(E23="TM",F23="Completed",F23="Stopped"),0,Assumptions!$F$169)</f>
        <v>0</v>
      </c>
      <c r="AM23" s="72" t="n">
        <f aca="false">AJ23+AK23*(1+AL23)</f>
        <v>2183.2</v>
      </c>
      <c r="AN23" s="131" t="n">
        <f aca="false">MAX(AG23,Assumptions!$C$10+1)</f>
        <v>9</v>
      </c>
      <c r="AO23" s="72" t="n">
        <f aca="false">SUMIFS(Assumptions!$E$200:$AB$200,Assumptions!$E$187:$AB$187,"&gt;="&amp;AN23,Assumptions!$E$187:$AB$187,"&lt;="&amp;AH23)+MAX(0,AH23-MAX(24,AN23-1))*AVERAGE(Assumptions!$Q$200:$AB$200)</f>
        <v>0</v>
      </c>
      <c r="AP23" s="71" t="n">
        <f aca="false">J23*S23</f>
        <v>393000</v>
      </c>
      <c r="AQ23" s="71" t="str">
        <f aca="false">"n/a"</f>
        <v>n/a</v>
      </c>
      <c r="AR23" s="64" t="n">
        <f aca="false">IFERROR(1-SUMIFS(Inputs_Actuals!$E$99:$AB$99,Assumptions!$E$188:$AB$188,"A")/SUMIFS(Engagements!$E$293:$AB$293,Assumptions!$E$188:$AB$188,"A"),"n/a")</f>
        <v>0.0262828340984896</v>
      </c>
      <c r="AS23" s="64" t="n">
        <f aca="false">MAX(0,IF(ISNUMBER(AR23),AR23,M23)+Assumptions!$F$170)</f>
        <v>0.0362828340984896</v>
      </c>
      <c r="AT23" s="71" t="n">
        <f aca="false">U23+SUMIFS(Inputs_Actuals!$E$99:$AB$99,Assumptions!$E$188:$AB$188,"A")</f>
        <v>393059.74</v>
      </c>
      <c r="AU23" s="71" t="n">
        <f aca="false">V23+SUMIFS(Inputs_Actuals!$E$100:$AB$100,Assumptions!$E$188:$AB$188,"A")</f>
        <v>393059.74</v>
      </c>
    </row>
    <row r="24" customFormat="false" ht="15" hidden="false" customHeight="false" outlineLevel="0" collapsed="false">
      <c r="A24" s="128" t="s">
        <v>787</v>
      </c>
      <c r="B24" s="128" t="s">
        <v>753</v>
      </c>
      <c r="C24" s="128" t="s">
        <v>758</v>
      </c>
      <c r="D24" s="128" t="s">
        <v>1581</v>
      </c>
      <c r="E24" s="128" t="s">
        <v>759</v>
      </c>
      <c r="F24" s="128" t="s">
        <v>1582</v>
      </c>
      <c r="G24" s="128" t="s">
        <v>1562</v>
      </c>
      <c r="H24" s="117" t="n">
        <v>46295</v>
      </c>
      <c r="I24" s="117" t="n">
        <v>46477</v>
      </c>
      <c r="J24" s="105" t="n">
        <v>400000</v>
      </c>
      <c r="K24" s="129" t="n">
        <v>2100</v>
      </c>
      <c r="L24" s="127" t="n">
        <v>0.06</v>
      </c>
      <c r="M24" s="127" t="n">
        <v>0</v>
      </c>
      <c r="N24" s="130" t="n">
        <v>15</v>
      </c>
      <c r="O24" s="120" t="n">
        <v>1</v>
      </c>
      <c r="P24" s="127" t="n">
        <v>1</v>
      </c>
      <c r="Q24" s="127" t="n">
        <v>1</v>
      </c>
      <c r="R24" s="127" t="n">
        <v>1</v>
      </c>
      <c r="S24" s="64" t="n">
        <f aca="false">CHOOSE(Assumptions!$C$11,P24,Q24,R24)</f>
        <v>1</v>
      </c>
      <c r="T24" s="129" t="n">
        <v>0</v>
      </c>
      <c r="U24" s="105" t="n">
        <v>0</v>
      </c>
      <c r="V24" s="105" t="n">
        <v>0</v>
      </c>
      <c r="W24" s="105" t="n">
        <v>0</v>
      </c>
      <c r="X24" s="105" t="n">
        <v>0</v>
      </c>
      <c r="Y24" s="64" t="n">
        <f aca="false">INDEX(Assumptions!$C$111:$C$113,MATCH(G24,Assumptions!$B$111:$B$113,0))</f>
        <v>0.045</v>
      </c>
      <c r="Z24" s="64" t="n">
        <f aca="false">INDEX(Assumptions!$D$111:$D$113,MATCH(G24,Assumptions!$B$111:$B$113,0))</f>
        <v>0.065</v>
      </c>
      <c r="AA24" s="64" t="n">
        <f aca="false">INDEX(Assumptions!$E$111:$E$113,MATCH(G24,Assumptions!$B$111:$B$113,0))</f>
        <v>0.18</v>
      </c>
      <c r="AB24" s="64" t="n">
        <f aca="false">INDEX(Assumptions!$F$111:$F$113,MATCH(G24,Assumptions!$B$111:$B$113,0))</f>
        <v>0.33</v>
      </c>
      <c r="AC24" s="64" t="n">
        <f aca="false">INDEX(Assumptions!$G$111:$G$113,MATCH(G24,Assumptions!$B$111:$B$113,0))</f>
        <v>0.38</v>
      </c>
      <c r="AD24" s="112" t="n">
        <f aca="false">Y24*Assumptions!$C$64+Z24*Assumptions!$C$65+AA24*Assumptions!$C$66+AB24*Assumptions!$C$67+AC24*Assumptions!$C$68</f>
        <v>196.7</v>
      </c>
      <c r="AE24" s="112" t="n">
        <f aca="false">AD24*(1-L24)</f>
        <v>184.898</v>
      </c>
      <c r="AF24" s="131" t="n">
        <f aca="false">IF(OR(F24="Contracted",F24="Pipeline",F24="Run-rate"),Assumptions!$F$167,0)</f>
        <v>0</v>
      </c>
      <c r="AG24" s="131" t="n">
        <f aca="false">((YEAR(H24)-YEAR(Assumptions!$C$8))*12+MONTH(H24)-MONTH(Assumptions!$C$8)+1)+AF24</f>
        <v>9</v>
      </c>
      <c r="AH24" s="131" t="n">
        <f aca="false">((YEAR(I24)-YEAR(Assumptions!$C$8))*12+MONTH(I24)-MONTH(Assumptions!$C$8)+1)+AF24</f>
        <v>15</v>
      </c>
      <c r="AI24" s="131" t="n">
        <f aca="false">AG24+ROUND((AH24-AG24)/2,0)</f>
        <v>12</v>
      </c>
      <c r="AJ24" s="72" t="n">
        <f aca="false">T24</f>
        <v>0</v>
      </c>
      <c r="AK24" s="72" t="n">
        <f aca="false">K24*S24</f>
        <v>2100</v>
      </c>
      <c r="AL24" s="64" t="n">
        <f aca="false">IF(OR(E24="TM",F24="Completed",F24="Stopped"),0,Assumptions!$F$169)</f>
        <v>0.05</v>
      </c>
      <c r="AM24" s="72" t="n">
        <f aca="false">AJ24+AK24*(1+AL24)</f>
        <v>2205</v>
      </c>
      <c r="AN24" s="131" t="n">
        <f aca="false">MAX(AG24,Assumptions!$C$10+1)</f>
        <v>9</v>
      </c>
      <c r="AO24" s="72" t="n">
        <f aca="false">SUMIFS(Assumptions!$E$200:$AB$200,Assumptions!$E$187:$AB$187,"&gt;="&amp;AN24,Assumptions!$E$187:$AB$187,"&lt;="&amp;AH24)+MAX(0,AH24-MAX(24,AN24-1))*AVERAGE(Assumptions!$Q$200:$AB$200)</f>
        <v>996.8</v>
      </c>
      <c r="AP24" s="71" t="n">
        <f aca="false">J24*S24</f>
        <v>400000</v>
      </c>
      <c r="AQ24" s="71" t="n">
        <f aca="false">INDEX(Engagements!$E$309:$AB$309,24)</f>
        <v>414270.409267416</v>
      </c>
      <c r="AR24" s="64" t="str">
        <f aca="false">"n/a"</f>
        <v>n/a</v>
      </c>
      <c r="AS24" s="64" t="n">
        <f aca="false">0</f>
        <v>0</v>
      </c>
      <c r="AT24" s="71" t="n">
        <f aca="false">U24</f>
        <v>0</v>
      </c>
      <c r="AU24" s="71" t="n">
        <f aca="false">V24</f>
        <v>0</v>
      </c>
    </row>
    <row r="25" customFormat="false" ht="15" hidden="false" customHeight="false" outlineLevel="0" collapsed="false">
      <c r="A25" s="128" t="s">
        <v>788</v>
      </c>
      <c r="B25" s="128" t="s">
        <v>786</v>
      </c>
      <c r="C25" s="128" t="s">
        <v>762</v>
      </c>
      <c r="D25" s="128" t="s">
        <v>1583</v>
      </c>
      <c r="E25" s="128" t="s">
        <v>755</v>
      </c>
      <c r="F25" s="128" t="s">
        <v>1582</v>
      </c>
      <c r="G25" s="128" t="s">
        <v>1562</v>
      </c>
      <c r="H25" s="117" t="n">
        <v>46295</v>
      </c>
      <c r="I25" s="117" t="n">
        <v>46446</v>
      </c>
      <c r="J25" s="105" t="n">
        <v>373000</v>
      </c>
      <c r="K25" s="129" t="n">
        <v>2077</v>
      </c>
      <c r="L25" s="127" t="n">
        <v>0.06</v>
      </c>
      <c r="M25" s="127" t="n">
        <v>0.03</v>
      </c>
      <c r="N25" s="130" t="n">
        <v>10</v>
      </c>
      <c r="O25" s="120" t="n">
        <v>1</v>
      </c>
      <c r="P25" s="127" t="n">
        <v>1</v>
      </c>
      <c r="Q25" s="127" t="n">
        <v>1</v>
      </c>
      <c r="R25" s="127" t="n">
        <v>1</v>
      </c>
      <c r="S25" s="64" t="n">
        <f aca="false">CHOOSE(Assumptions!$C$11,P25,Q25,R25)</f>
        <v>1</v>
      </c>
      <c r="T25" s="129" t="n">
        <v>0</v>
      </c>
      <c r="U25" s="105" t="n">
        <v>0</v>
      </c>
      <c r="V25" s="105" t="n">
        <v>0</v>
      </c>
      <c r="W25" s="105" t="n">
        <v>0</v>
      </c>
      <c r="X25" s="105" t="n">
        <v>0</v>
      </c>
      <c r="Y25" s="64" t="n">
        <f aca="false">INDEX(Assumptions!$C$111:$C$113,MATCH(G25,Assumptions!$B$111:$B$113,0))</f>
        <v>0.045</v>
      </c>
      <c r="Z25" s="64" t="n">
        <f aca="false">INDEX(Assumptions!$D$111:$D$113,MATCH(G25,Assumptions!$B$111:$B$113,0))</f>
        <v>0.065</v>
      </c>
      <c r="AA25" s="64" t="n">
        <f aca="false">INDEX(Assumptions!$E$111:$E$113,MATCH(G25,Assumptions!$B$111:$B$113,0))</f>
        <v>0.18</v>
      </c>
      <c r="AB25" s="64" t="n">
        <f aca="false">INDEX(Assumptions!$F$111:$F$113,MATCH(G25,Assumptions!$B$111:$B$113,0))</f>
        <v>0.33</v>
      </c>
      <c r="AC25" s="64" t="n">
        <f aca="false">INDEX(Assumptions!$G$111:$G$113,MATCH(G25,Assumptions!$B$111:$B$113,0))</f>
        <v>0.38</v>
      </c>
      <c r="AD25" s="112" t="n">
        <f aca="false">Y25*Assumptions!$C$64+Z25*Assumptions!$C$65+AA25*Assumptions!$C$66+AB25*Assumptions!$C$67+AC25*Assumptions!$C$68</f>
        <v>196.7</v>
      </c>
      <c r="AE25" s="112" t="n">
        <f aca="false">AD25*(1-L25)</f>
        <v>184.898</v>
      </c>
      <c r="AF25" s="131" t="n">
        <f aca="false">IF(OR(F25="Contracted",F25="Pipeline",F25="Run-rate"),Assumptions!$F$167,0)</f>
        <v>0</v>
      </c>
      <c r="AG25" s="131" t="n">
        <f aca="false">((YEAR(H25)-YEAR(Assumptions!$C$8))*12+MONTH(H25)-MONTH(Assumptions!$C$8)+1)+AF25</f>
        <v>9</v>
      </c>
      <c r="AH25" s="131" t="n">
        <f aca="false">((YEAR(I25)-YEAR(Assumptions!$C$8))*12+MONTH(I25)-MONTH(Assumptions!$C$8)+1)+AF25</f>
        <v>14</v>
      </c>
      <c r="AI25" s="131" t="n">
        <f aca="false">AG25+ROUND((AH25-AG25)/2,0)</f>
        <v>12</v>
      </c>
      <c r="AJ25" s="72" t="n">
        <f aca="false">T25</f>
        <v>0</v>
      </c>
      <c r="AK25" s="72" t="n">
        <f aca="false">K25*S25</f>
        <v>2077</v>
      </c>
      <c r="AL25" s="64" t="n">
        <f aca="false">IF(OR(E25="TM",F25="Completed",F25="Stopped"),0,Assumptions!$F$169)</f>
        <v>0</v>
      </c>
      <c r="AM25" s="72" t="n">
        <f aca="false">AJ25+AK25*(1+AL25)</f>
        <v>2077</v>
      </c>
      <c r="AN25" s="131" t="n">
        <f aca="false">MAX(AG25,Assumptions!$C$10+1)</f>
        <v>9</v>
      </c>
      <c r="AO25" s="72" t="n">
        <f aca="false">SUMIFS(Assumptions!$E$200:$AB$200,Assumptions!$E$187:$AB$187,"&gt;="&amp;AN25,Assumptions!$E$187:$AB$187,"&lt;="&amp;AH25)+MAX(0,AH25-MAX(24,AN25-1))*AVERAGE(Assumptions!$Q$200:$AB$200)</f>
        <v>855.2</v>
      </c>
      <c r="AP25" s="71" t="n">
        <f aca="false">J25*S25</f>
        <v>373000</v>
      </c>
      <c r="AQ25" s="71" t="str">
        <f aca="false">"n/a"</f>
        <v>n/a</v>
      </c>
      <c r="AR25" s="64" t="str">
        <f aca="false">"n/a"</f>
        <v>n/a</v>
      </c>
      <c r="AS25" s="64" t="n">
        <f aca="false">MAX(0,IF(ISNUMBER(AR25),AR25,M25)+Assumptions!$F$170)</f>
        <v>0.04</v>
      </c>
      <c r="AT25" s="71" t="n">
        <f aca="false">U25</f>
        <v>0</v>
      </c>
      <c r="AU25" s="71" t="n">
        <f aca="false">V25</f>
        <v>0</v>
      </c>
    </row>
    <row r="26" customFormat="false" ht="15" hidden="false" customHeight="false" outlineLevel="0" collapsed="false">
      <c r="A26" s="128" t="s">
        <v>789</v>
      </c>
      <c r="B26" s="128" t="s">
        <v>764</v>
      </c>
      <c r="C26" s="128" t="s">
        <v>754</v>
      </c>
      <c r="D26" s="128" t="s">
        <v>1584</v>
      </c>
      <c r="E26" s="128" t="s">
        <v>765</v>
      </c>
      <c r="F26" s="128" t="s">
        <v>1582</v>
      </c>
      <c r="G26" s="128" t="s">
        <v>1566</v>
      </c>
      <c r="H26" s="117" t="n">
        <v>46326</v>
      </c>
      <c r="I26" s="117" t="n">
        <v>46418</v>
      </c>
      <c r="J26" s="105" t="n">
        <v>140000</v>
      </c>
      <c r="K26" s="129" t="n">
        <v>690</v>
      </c>
      <c r="L26" s="64" t="n">
        <f aca="false">IF(AD26=0,0,1-AE26/AD26)</f>
        <v>0.0179160177897499</v>
      </c>
      <c r="M26" s="127" t="n">
        <v>0</v>
      </c>
      <c r="N26" s="130" t="n">
        <v>8</v>
      </c>
      <c r="O26" s="120" t="n">
        <v>0</v>
      </c>
      <c r="P26" s="127" t="n">
        <v>1</v>
      </c>
      <c r="Q26" s="127" t="n">
        <v>1</v>
      </c>
      <c r="R26" s="127" t="n">
        <v>1</v>
      </c>
      <c r="S26" s="64" t="n">
        <f aca="false">CHOOSE(Assumptions!$C$11,P26,Q26,R26)</f>
        <v>1</v>
      </c>
      <c r="T26" s="129" t="n">
        <v>0</v>
      </c>
      <c r="U26" s="105" t="n">
        <v>0</v>
      </c>
      <c r="V26" s="105" t="n">
        <v>0</v>
      </c>
      <c r="W26" s="105" t="n">
        <v>0</v>
      </c>
      <c r="X26" s="105" t="n">
        <v>0</v>
      </c>
      <c r="Y26" s="64" t="n">
        <f aca="false">INDEX(Assumptions!$C$111:$C$113,MATCH(G26,Assumptions!$B$111:$B$113,0))</f>
        <v>0.08</v>
      </c>
      <c r="Z26" s="64" t="n">
        <f aca="false">INDEX(Assumptions!$D$111:$D$113,MATCH(G26,Assumptions!$B$111:$B$113,0))</f>
        <v>0.08</v>
      </c>
      <c r="AA26" s="64" t="n">
        <f aca="false">INDEX(Assumptions!$E$111:$E$113,MATCH(G26,Assumptions!$B$111:$B$113,0))</f>
        <v>0.19</v>
      </c>
      <c r="AB26" s="64" t="n">
        <f aca="false">INDEX(Assumptions!$F$111:$F$113,MATCH(G26,Assumptions!$B$111:$B$113,0))</f>
        <v>0.31</v>
      </c>
      <c r="AC26" s="64" t="n">
        <f aca="false">INDEX(Assumptions!$G$111:$G$113,MATCH(G26,Assumptions!$B$111:$B$113,0))</f>
        <v>0.34</v>
      </c>
      <c r="AD26" s="112" t="n">
        <f aca="false">Y26*Assumptions!$C$64+Z26*Assumptions!$C$65+AA26*Assumptions!$C$66+AB26*Assumptions!$C$67+AC26*Assumptions!$C$68</f>
        <v>206.6</v>
      </c>
      <c r="AE26" s="112" t="n">
        <f aca="false">IF(K26=0,0,J26/K26)</f>
        <v>202.898550724638</v>
      </c>
      <c r="AF26" s="131" t="n">
        <f aca="false">IF(OR(F26="Contracted",F26="Pipeline",F26="Run-rate"),Assumptions!$F$167,0)</f>
        <v>0</v>
      </c>
      <c r="AG26" s="131" t="n">
        <f aca="false">((YEAR(H26)-YEAR(Assumptions!$C$8))*12+MONTH(H26)-MONTH(Assumptions!$C$8)+1)+AF26</f>
        <v>10</v>
      </c>
      <c r="AH26" s="131" t="n">
        <f aca="false">((YEAR(I26)-YEAR(Assumptions!$C$8))*12+MONTH(I26)-MONTH(Assumptions!$C$8)+1)+AF26</f>
        <v>13</v>
      </c>
      <c r="AI26" s="131" t="n">
        <f aca="false">AG26+ROUND((AH26-AG26)/2,0)</f>
        <v>12</v>
      </c>
      <c r="AJ26" s="72" t="n">
        <f aca="false">T26</f>
        <v>0</v>
      </c>
      <c r="AK26" s="72" t="n">
        <f aca="false">K26*S26</f>
        <v>690</v>
      </c>
      <c r="AL26" s="64" t="n">
        <f aca="false">IF(OR(E26="TM",F26="Completed",F26="Stopped"),0,Assumptions!$F$169)</f>
        <v>0.05</v>
      </c>
      <c r="AM26" s="72" t="n">
        <f aca="false">AJ26+AK26*(1+AL26)</f>
        <v>724.5</v>
      </c>
      <c r="AN26" s="131" t="n">
        <f aca="false">MAX(AG26,Assumptions!$C$10+1)</f>
        <v>10</v>
      </c>
      <c r="AO26" s="72" t="n">
        <f aca="false">SUMIFS(Assumptions!$E$200:$AB$200,Assumptions!$E$187:$AB$187,"&gt;="&amp;AN26,Assumptions!$E$187:$AB$187,"&lt;="&amp;AH26)+MAX(0,AH26-MAX(24,AN26-1))*AVERAGE(Assumptions!$Q$200:$AB$200)</f>
        <v>570.4</v>
      </c>
      <c r="AP26" s="71" t="n">
        <f aca="false">J26*S26</f>
        <v>140000</v>
      </c>
      <c r="AQ26" s="71" t="str">
        <f aca="false">"n/a"</f>
        <v>n/a</v>
      </c>
      <c r="AR26" s="64" t="str">
        <f aca="false">"n/a"</f>
        <v>n/a</v>
      </c>
      <c r="AS26" s="64" t="n">
        <f aca="false">0</f>
        <v>0</v>
      </c>
      <c r="AT26" s="71" t="n">
        <f aca="false">U26</f>
        <v>0</v>
      </c>
      <c r="AU26" s="71" t="n">
        <f aca="false">V26</f>
        <v>0</v>
      </c>
    </row>
    <row r="27" customFormat="false" ht="15" hidden="false" customHeight="false" outlineLevel="0" collapsed="false">
      <c r="A27" s="128" t="s">
        <v>790</v>
      </c>
      <c r="B27" s="128" t="s">
        <v>767</v>
      </c>
      <c r="C27" s="128" t="s">
        <v>758</v>
      </c>
      <c r="D27" s="128" t="s">
        <v>1585</v>
      </c>
      <c r="E27" s="128" t="s">
        <v>765</v>
      </c>
      <c r="F27" s="128" t="s">
        <v>1582</v>
      </c>
      <c r="G27" s="128" t="s">
        <v>1566</v>
      </c>
      <c r="H27" s="117" t="n">
        <v>46326</v>
      </c>
      <c r="I27" s="117" t="n">
        <v>46387</v>
      </c>
      <c r="J27" s="105" t="n">
        <v>120000</v>
      </c>
      <c r="K27" s="129" t="n">
        <v>620</v>
      </c>
      <c r="L27" s="64" t="n">
        <f aca="false">IF(AD27=0,0,1-AE27/AD27)</f>
        <v>0.0631733441588859</v>
      </c>
      <c r="M27" s="127" t="n">
        <v>0</v>
      </c>
      <c r="N27" s="130" t="n">
        <v>10</v>
      </c>
      <c r="O27" s="120" t="n">
        <v>0</v>
      </c>
      <c r="P27" s="127" t="n">
        <v>1</v>
      </c>
      <c r="Q27" s="127" t="n">
        <v>1</v>
      </c>
      <c r="R27" s="127" t="n">
        <v>1</v>
      </c>
      <c r="S27" s="64" t="n">
        <f aca="false">CHOOSE(Assumptions!$C$11,P27,Q27,R27)</f>
        <v>1</v>
      </c>
      <c r="T27" s="129" t="n">
        <v>0</v>
      </c>
      <c r="U27" s="105" t="n">
        <v>0</v>
      </c>
      <c r="V27" s="105" t="n">
        <v>0</v>
      </c>
      <c r="W27" s="105" t="n">
        <v>0</v>
      </c>
      <c r="X27" s="105" t="n">
        <v>0</v>
      </c>
      <c r="Y27" s="64" t="n">
        <f aca="false">INDEX(Assumptions!$C$111:$C$113,MATCH(G27,Assumptions!$B$111:$B$113,0))</f>
        <v>0.08</v>
      </c>
      <c r="Z27" s="64" t="n">
        <f aca="false">INDEX(Assumptions!$D$111:$D$113,MATCH(G27,Assumptions!$B$111:$B$113,0))</f>
        <v>0.08</v>
      </c>
      <c r="AA27" s="64" t="n">
        <f aca="false">INDEX(Assumptions!$E$111:$E$113,MATCH(G27,Assumptions!$B$111:$B$113,0))</f>
        <v>0.19</v>
      </c>
      <c r="AB27" s="64" t="n">
        <f aca="false">INDEX(Assumptions!$F$111:$F$113,MATCH(G27,Assumptions!$B$111:$B$113,0))</f>
        <v>0.31</v>
      </c>
      <c r="AC27" s="64" t="n">
        <f aca="false">INDEX(Assumptions!$G$111:$G$113,MATCH(G27,Assumptions!$B$111:$B$113,0))</f>
        <v>0.34</v>
      </c>
      <c r="AD27" s="112" t="n">
        <f aca="false">Y27*Assumptions!$C$64+Z27*Assumptions!$C$65+AA27*Assumptions!$C$66+AB27*Assumptions!$C$67+AC27*Assumptions!$C$68</f>
        <v>206.6</v>
      </c>
      <c r="AE27" s="112" t="n">
        <f aca="false">IF(K27=0,0,J27/K27)</f>
        <v>193.548387096774</v>
      </c>
      <c r="AF27" s="131" t="n">
        <f aca="false">IF(OR(F27="Contracted",F27="Pipeline",F27="Run-rate"),Assumptions!$F$167,0)</f>
        <v>0</v>
      </c>
      <c r="AG27" s="131" t="n">
        <f aca="false">((YEAR(H27)-YEAR(Assumptions!$C$8))*12+MONTH(H27)-MONTH(Assumptions!$C$8)+1)+AF27</f>
        <v>10</v>
      </c>
      <c r="AH27" s="131" t="n">
        <f aca="false">((YEAR(I27)-YEAR(Assumptions!$C$8))*12+MONTH(I27)-MONTH(Assumptions!$C$8)+1)+AF27</f>
        <v>12</v>
      </c>
      <c r="AI27" s="131" t="n">
        <f aca="false">AG27+ROUND((AH27-AG27)/2,0)</f>
        <v>11</v>
      </c>
      <c r="AJ27" s="72" t="n">
        <f aca="false">T27</f>
        <v>0</v>
      </c>
      <c r="AK27" s="72" t="n">
        <f aca="false">K27*S27</f>
        <v>620</v>
      </c>
      <c r="AL27" s="64" t="n">
        <f aca="false">IF(OR(E27="TM",F27="Completed",F27="Stopped"),0,Assumptions!$F$169)</f>
        <v>0.05</v>
      </c>
      <c r="AM27" s="72" t="n">
        <f aca="false">AJ27+AK27*(1+AL27)</f>
        <v>651</v>
      </c>
      <c r="AN27" s="131" t="n">
        <f aca="false">MAX(AG27,Assumptions!$C$10+1)</f>
        <v>10</v>
      </c>
      <c r="AO27" s="72" t="n">
        <f aca="false">SUMIFS(Assumptions!$E$200:$AB$200,Assumptions!$E$187:$AB$187,"&gt;="&amp;AN27,Assumptions!$E$187:$AB$187,"&lt;="&amp;AH27)+MAX(0,AH27-MAX(24,AN27-1))*AVERAGE(Assumptions!$Q$200:$AB$200)</f>
        <v>442.4</v>
      </c>
      <c r="AP27" s="71" t="n">
        <f aca="false">J27*S27</f>
        <v>120000</v>
      </c>
      <c r="AQ27" s="71" t="str">
        <f aca="false">"n/a"</f>
        <v>n/a</v>
      </c>
      <c r="AR27" s="64" t="str">
        <f aca="false">"n/a"</f>
        <v>n/a</v>
      </c>
      <c r="AS27" s="64" t="n">
        <f aca="false">0</f>
        <v>0</v>
      </c>
      <c r="AT27" s="71" t="n">
        <f aca="false">U27</f>
        <v>0</v>
      </c>
      <c r="AU27" s="71" t="n">
        <f aca="false">V27</f>
        <v>0</v>
      </c>
    </row>
    <row r="28" customFormat="false" ht="15" hidden="false" customHeight="false" outlineLevel="0" collapsed="false">
      <c r="A28" s="128" t="s">
        <v>791</v>
      </c>
      <c r="B28" s="128" t="s">
        <v>761</v>
      </c>
      <c r="C28" s="128" t="s">
        <v>762</v>
      </c>
      <c r="D28" s="128" t="s">
        <v>1586</v>
      </c>
      <c r="E28" s="128" t="s">
        <v>755</v>
      </c>
      <c r="F28" s="128" t="s">
        <v>1582</v>
      </c>
      <c r="G28" s="128" t="s">
        <v>1562</v>
      </c>
      <c r="H28" s="117" t="n">
        <v>46356</v>
      </c>
      <c r="I28" s="117" t="n">
        <v>46507</v>
      </c>
      <c r="J28" s="105" t="n">
        <v>238000</v>
      </c>
      <c r="K28" s="129" t="n">
        <v>1328</v>
      </c>
      <c r="L28" s="127" t="n">
        <v>0.07</v>
      </c>
      <c r="M28" s="127" t="n">
        <v>0.02</v>
      </c>
      <c r="N28" s="130" t="n">
        <v>9</v>
      </c>
      <c r="O28" s="120" t="n">
        <v>1</v>
      </c>
      <c r="P28" s="127" t="n">
        <v>1</v>
      </c>
      <c r="Q28" s="127" t="n">
        <v>1</v>
      </c>
      <c r="R28" s="127" t="n">
        <v>1</v>
      </c>
      <c r="S28" s="64" t="n">
        <f aca="false">CHOOSE(Assumptions!$C$11,P28,Q28,R28)</f>
        <v>1</v>
      </c>
      <c r="T28" s="129" t="n">
        <v>0</v>
      </c>
      <c r="U28" s="105" t="n">
        <v>0</v>
      </c>
      <c r="V28" s="105" t="n">
        <v>0</v>
      </c>
      <c r="W28" s="105" t="n">
        <v>0</v>
      </c>
      <c r="X28" s="105" t="n">
        <v>0</v>
      </c>
      <c r="Y28" s="64" t="n">
        <f aca="false">INDEX(Assumptions!$C$111:$C$113,MATCH(G28,Assumptions!$B$111:$B$113,0))</f>
        <v>0.045</v>
      </c>
      <c r="Z28" s="64" t="n">
        <f aca="false">INDEX(Assumptions!$D$111:$D$113,MATCH(G28,Assumptions!$B$111:$B$113,0))</f>
        <v>0.065</v>
      </c>
      <c r="AA28" s="64" t="n">
        <f aca="false">INDEX(Assumptions!$E$111:$E$113,MATCH(G28,Assumptions!$B$111:$B$113,0))</f>
        <v>0.18</v>
      </c>
      <c r="AB28" s="64" t="n">
        <f aca="false">INDEX(Assumptions!$F$111:$F$113,MATCH(G28,Assumptions!$B$111:$B$113,0))</f>
        <v>0.33</v>
      </c>
      <c r="AC28" s="64" t="n">
        <f aca="false">INDEX(Assumptions!$G$111:$G$113,MATCH(G28,Assumptions!$B$111:$B$113,0))</f>
        <v>0.38</v>
      </c>
      <c r="AD28" s="112" t="n">
        <f aca="false">Y28*Assumptions!$C$64+Z28*Assumptions!$C$65+AA28*Assumptions!$C$66+AB28*Assumptions!$C$67+AC28*Assumptions!$C$68</f>
        <v>196.7</v>
      </c>
      <c r="AE28" s="112" t="n">
        <f aca="false">AD28*(1-L28)</f>
        <v>182.931</v>
      </c>
      <c r="AF28" s="131" t="n">
        <f aca="false">IF(OR(F28="Contracted",F28="Pipeline",F28="Run-rate"),Assumptions!$F$167,0)</f>
        <v>0</v>
      </c>
      <c r="AG28" s="131" t="n">
        <f aca="false">((YEAR(H28)-YEAR(Assumptions!$C$8))*12+MONTH(H28)-MONTH(Assumptions!$C$8)+1)+AF28</f>
        <v>11</v>
      </c>
      <c r="AH28" s="131" t="n">
        <f aca="false">((YEAR(I28)-YEAR(Assumptions!$C$8))*12+MONTH(I28)-MONTH(Assumptions!$C$8)+1)+AF28</f>
        <v>16</v>
      </c>
      <c r="AI28" s="131" t="n">
        <f aca="false">AG28+ROUND((AH28-AG28)/2,0)</f>
        <v>14</v>
      </c>
      <c r="AJ28" s="72" t="n">
        <f aca="false">T28</f>
        <v>0</v>
      </c>
      <c r="AK28" s="72" t="n">
        <f aca="false">K28*S28</f>
        <v>1328</v>
      </c>
      <c r="AL28" s="64" t="n">
        <f aca="false">IF(OR(E28="TM",F28="Completed",F28="Stopped"),0,Assumptions!$F$169)</f>
        <v>0</v>
      </c>
      <c r="AM28" s="72" t="n">
        <f aca="false">AJ28+AK28*(1+AL28)</f>
        <v>1328</v>
      </c>
      <c r="AN28" s="131" t="n">
        <f aca="false">MAX(AG28,Assumptions!$C$10+1)</f>
        <v>11</v>
      </c>
      <c r="AO28" s="72" t="n">
        <f aca="false">SUMIFS(Assumptions!$E$200:$AB$200,Assumptions!$E$187:$AB$187,"&gt;="&amp;AN28,Assumptions!$E$187:$AB$187,"&lt;="&amp;AH28)+MAX(0,AH28-MAX(24,AN28-1))*AVERAGE(Assumptions!$Q$200:$AB$200)</f>
        <v>844.8</v>
      </c>
      <c r="AP28" s="71" t="n">
        <f aca="false">J28*S28</f>
        <v>238000</v>
      </c>
      <c r="AQ28" s="71" t="str">
        <f aca="false">"n/a"</f>
        <v>n/a</v>
      </c>
      <c r="AR28" s="64" t="str">
        <f aca="false">"n/a"</f>
        <v>n/a</v>
      </c>
      <c r="AS28" s="64" t="n">
        <f aca="false">MAX(0,IF(ISNUMBER(AR28),AR28,M28)+Assumptions!$F$170)</f>
        <v>0.03</v>
      </c>
      <c r="AT28" s="71" t="n">
        <f aca="false">U28</f>
        <v>0</v>
      </c>
      <c r="AU28" s="71" t="n">
        <f aca="false">V28</f>
        <v>0</v>
      </c>
    </row>
    <row r="29" customFormat="false" ht="15" hidden="false" customHeight="false" outlineLevel="0" collapsed="false">
      <c r="A29" s="128" t="s">
        <v>792</v>
      </c>
      <c r="B29" s="128" t="s">
        <v>753</v>
      </c>
      <c r="C29" s="128" t="s">
        <v>754</v>
      </c>
      <c r="D29" s="128" t="s">
        <v>1587</v>
      </c>
      <c r="E29" s="128" t="s">
        <v>755</v>
      </c>
      <c r="F29" s="128" t="s">
        <v>1582</v>
      </c>
      <c r="G29" s="128" t="s">
        <v>1562</v>
      </c>
      <c r="H29" s="117" t="n">
        <v>46295</v>
      </c>
      <c r="I29" s="117" t="n">
        <v>46477</v>
      </c>
      <c r="J29" s="105" t="n">
        <v>225000</v>
      </c>
      <c r="K29" s="129" t="n">
        <v>1282</v>
      </c>
      <c r="L29" s="127" t="n">
        <v>0.08</v>
      </c>
      <c r="M29" s="127" t="n">
        <v>0.03</v>
      </c>
      <c r="N29" s="130" t="n">
        <v>10</v>
      </c>
      <c r="O29" s="120" t="n">
        <v>1</v>
      </c>
      <c r="P29" s="127" t="n">
        <v>1</v>
      </c>
      <c r="Q29" s="127" t="n">
        <v>1</v>
      </c>
      <c r="R29" s="127" t="n">
        <v>1</v>
      </c>
      <c r="S29" s="64" t="n">
        <f aca="false">CHOOSE(Assumptions!$C$11,P29,Q29,R29)</f>
        <v>1</v>
      </c>
      <c r="T29" s="129" t="n">
        <v>0</v>
      </c>
      <c r="U29" s="105" t="n">
        <v>0</v>
      </c>
      <c r="V29" s="105" t="n">
        <v>0</v>
      </c>
      <c r="W29" s="105" t="n">
        <v>0</v>
      </c>
      <c r="X29" s="105" t="n">
        <v>0</v>
      </c>
      <c r="Y29" s="64" t="n">
        <f aca="false">INDEX(Assumptions!$C$111:$C$113,MATCH(G29,Assumptions!$B$111:$B$113,0))</f>
        <v>0.045</v>
      </c>
      <c r="Z29" s="64" t="n">
        <f aca="false">INDEX(Assumptions!$D$111:$D$113,MATCH(G29,Assumptions!$B$111:$B$113,0))</f>
        <v>0.065</v>
      </c>
      <c r="AA29" s="64" t="n">
        <f aca="false">INDEX(Assumptions!$E$111:$E$113,MATCH(G29,Assumptions!$B$111:$B$113,0))</f>
        <v>0.18</v>
      </c>
      <c r="AB29" s="64" t="n">
        <f aca="false">INDEX(Assumptions!$F$111:$F$113,MATCH(G29,Assumptions!$B$111:$B$113,0))</f>
        <v>0.33</v>
      </c>
      <c r="AC29" s="64" t="n">
        <f aca="false">INDEX(Assumptions!$G$111:$G$113,MATCH(G29,Assumptions!$B$111:$B$113,0))</f>
        <v>0.38</v>
      </c>
      <c r="AD29" s="112" t="n">
        <f aca="false">Y29*Assumptions!$C$64+Z29*Assumptions!$C$65+AA29*Assumptions!$C$66+AB29*Assumptions!$C$67+AC29*Assumptions!$C$68</f>
        <v>196.7</v>
      </c>
      <c r="AE29" s="112" t="n">
        <f aca="false">AD29*(1-L29)</f>
        <v>180.964</v>
      </c>
      <c r="AF29" s="131" t="n">
        <f aca="false">IF(OR(F29="Contracted",F29="Pipeline",F29="Run-rate"),Assumptions!$F$167,0)</f>
        <v>0</v>
      </c>
      <c r="AG29" s="131" t="n">
        <f aca="false">((YEAR(H29)-YEAR(Assumptions!$C$8))*12+MONTH(H29)-MONTH(Assumptions!$C$8)+1)+AF29</f>
        <v>9</v>
      </c>
      <c r="AH29" s="131" t="n">
        <f aca="false">((YEAR(I29)-YEAR(Assumptions!$C$8))*12+MONTH(I29)-MONTH(Assumptions!$C$8)+1)+AF29</f>
        <v>15</v>
      </c>
      <c r="AI29" s="131" t="n">
        <f aca="false">AG29+ROUND((AH29-AG29)/2,0)</f>
        <v>12</v>
      </c>
      <c r="AJ29" s="72" t="n">
        <f aca="false">T29</f>
        <v>0</v>
      </c>
      <c r="AK29" s="72" t="n">
        <f aca="false">K29*S29</f>
        <v>1282</v>
      </c>
      <c r="AL29" s="64" t="n">
        <f aca="false">IF(OR(E29="TM",F29="Completed",F29="Stopped"),0,Assumptions!$F$169)</f>
        <v>0</v>
      </c>
      <c r="AM29" s="72" t="n">
        <f aca="false">AJ29+AK29*(1+AL29)</f>
        <v>1282</v>
      </c>
      <c r="AN29" s="131" t="n">
        <f aca="false">MAX(AG29,Assumptions!$C$10+1)</f>
        <v>9</v>
      </c>
      <c r="AO29" s="72" t="n">
        <f aca="false">SUMIFS(Assumptions!$E$200:$AB$200,Assumptions!$E$187:$AB$187,"&gt;="&amp;AN29,Assumptions!$E$187:$AB$187,"&lt;="&amp;AH29)+MAX(0,AH29-MAX(24,AN29-1))*AVERAGE(Assumptions!$Q$200:$AB$200)</f>
        <v>996.8</v>
      </c>
      <c r="AP29" s="71" t="n">
        <f aca="false">J29*S29</f>
        <v>225000</v>
      </c>
      <c r="AQ29" s="71" t="str">
        <f aca="false">"n/a"</f>
        <v>n/a</v>
      </c>
      <c r="AR29" s="64" t="str">
        <f aca="false">"n/a"</f>
        <v>n/a</v>
      </c>
      <c r="AS29" s="64" t="n">
        <f aca="false">MAX(0,IF(ISNUMBER(AR29),AR29,M29)+Assumptions!$F$170)</f>
        <v>0.04</v>
      </c>
      <c r="AT29" s="71" t="n">
        <f aca="false">U29</f>
        <v>0</v>
      </c>
      <c r="AU29" s="71" t="n">
        <f aca="false">V29</f>
        <v>0</v>
      </c>
    </row>
    <row r="30" customFormat="false" ht="15" hidden="false" customHeight="false" outlineLevel="0" collapsed="false">
      <c r="A30" s="128" t="s">
        <v>1588</v>
      </c>
      <c r="B30" s="128" t="s">
        <v>753</v>
      </c>
      <c r="C30" s="128" t="s">
        <v>754</v>
      </c>
      <c r="D30" s="128" t="s">
        <v>1589</v>
      </c>
      <c r="E30" s="128" t="s">
        <v>755</v>
      </c>
      <c r="F30" s="128" t="s">
        <v>60</v>
      </c>
      <c r="G30" s="128" t="s">
        <v>1560</v>
      </c>
      <c r="H30" s="117" t="n">
        <v>46507</v>
      </c>
      <c r="I30" s="117" t="n">
        <v>46752</v>
      </c>
      <c r="J30" s="105" t="n">
        <v>1277000</v>
      </c>
      <c r="K30" s="129" t="n">
        <v>7000</v>
      </c>
      <c r="L30" s="127" t="n">
        <v>0.08</v>
      </c>
      <c r="M30" s="127" t="n">
        <v>0.03</v>
      </c>
      <c r="N30" s="130" t="n">
        <v>11</v>
      </c>
      <c r="O30" s="120" t="n">
        <v>1</v>
      </c>
      <c r="P30" s="127" t="n">
        <v>0.65</v>
      </c>
      <c r="Q30" s="127" t="n">
        <v>0.35</v>
      </c>
      <c r="R30" s="127" t="n">
        <v>0.85</v>
      </c>
      <c r="S30" s="64" t="n">
        <f aca="false">CHOOSE(Assumptions!$C$11,P30,Q30,R30)</f>
        <v>0.65</v>
      </c>
      <c r="T30" s="129" t="n">
        <v>0</v>
      </c>
      <c r="U30" s="105" t="n">
        <v>0</v>
      </c>
      <c r="V30" s="105" t="n">
        <v>0</v>
      </c>
      <c r="W30" s="105" t="n">
        <v>0</v>
      </c>
      <c r="X30" s="105" t="n">
        <v>0</v>
      </c>
      <c r="Y30" s="64" t="n">
        <f aca="false">INDEX(Assumptions!$C$111:$C$113,MATCH(G30,Assumptions!$B$111:$B$113,0))</f>
        <v>0.03</v>
      </c>
      <c r="Z30" s="64" t="n">
        <f aca="false">INDEX(Assumptions!$D$111:$D$113,MATCH(G30,Assumptions!$B$111:$B$113,0))</f>
        <v>0.06</v>
      </c>
      <c r="AA30" s="64" t="n">
        <f aca="false">INDEX(Assumptions!$E$111:$E$113,MATCH(G30,Assumptions!$B$111:$B$113,0))</f>
        <v>0.27</v>
      </c>
      <c r="AB30" s="64" t="n">
        <f aca="false">INDEX(Assumptions!$F$111:$F$113,MATCH(G30,Assumptions!$B$111:$B$113,0))</f>
        <v>0.4</v>
      </c>
      <c r="AC30" s="64" t="n">
        <f aca="false">INDEX(Assumptions!$G$111:$G$113,MATCH(G30,Assumptions!$B$111:$B$113,0))</f>
        <v>0.24</v>
      </c>
      <c r="AD30" s="112" t="n">
        <f aca="false">Y30*Assumptions!$C$64+Z30*Assumptions!$C$65+AA30*Assumptions!$C$66+AB30*Assumptions!$C$67+AC30*Assumptions!$C$68</f>
        <v>204.4</v>
      </c>
      <c r="AE30" s="112" t="n">
        <f aca="false">AD30*(1-L30)</f>
        <v>188.048</v>
      </c>
      <c r="AF30" s="131" t="n">
        <f aca="false">IF(OR(F30="Contracted",F30="Pipeline",F30="Run-rate"),Assumptions!$F$167,0)</f>
        <v>0</v>
      </c>
      <c r="AG30" s="131" t="n">
        <f aca="false">((YEAR(H30)-YEAR(Assumptions!$C$8))*12+MONTH(H30)-MONTH(Assumptions!$C$8)+1)+AF30</f>
        <v>16</v>
      </c>
      <c r="AH30" s="131" t="n">
        <f aca="false">((YEAR(I30)-YEAR(Assumptions!$C$8))*12+MONTH(I30)-MONTH(Assumptions!$C$8)+1)+AF30</f>
        <v>24</v>
      </c>
      <c r="AI30" s="131" t="n">
        <f aca="false">AG30+ROUND((AH30-AG30)/2,0)</f>
        <v>20</v>
      </c>
      <c r="AJ30" s="72" t="n">
        <f aca="false">T30</f>
        <v>0</v>
      </c>
      <c r="AK30" s="72" t="n">
        <f aca="false">K30*S30</f>
        <v>4550</v>
      </c>
      <c r="AL30" s="64" t="n">
        <f aca="false">IF(OR(E30="TM",F30="Completed",F30="Stopped"),0,Assumptions!$F$169)</f>
        <v>0</v>
      </c>
      <c r="AM30" s="72" t="n">
        <f aca="false">AJ30+AK30*(1+AL30)</f>
        <v>4550</v>
      </c>
      <c r="AN30" s="131" t="n">
        <f aca="false">MAX(AG30,Assumptions!$C$10+1)</f>
        <v>16</v>
      </c>
      <c r="AO30" s="72" t="n">
        <f aca="false">SUMIFS(Assumptions!$E$200:$AB$200,Assumptions!$E$187:$AB$187,"&gt;="&amp;AN30,Assumptions!$E$187:$AB$187,"&lt;="&amp;AH30)+MAX(0,AH30-MAX(24,AN30-1))*AVERAGE(Assumptions!$Q$200:$AB$200)</f>
        <v>1286.4</v>
      </c>
      <c r="AP30" s="71" t="n">
        <f aca="false">J30*S30</f>
        <v>830050</v>
      </c>
      <c r="AQ30" s="71" t="str">
        <f aca="false">"n/a"</f>
        <v>n/a</v>
      </c>
      <c r="AR30" s="64" t="str">
        <f aca="false">"n/a"</f>
        <v>n/a</v>
      </c>
      <c r="AS30" s="64" t="n">
        <f aca="false">MAX(0,IF(ISNUMBER(AR30),AR30,M30)+Assumptions!$F$170)</f>
        <v>0.04</v>
      </c>
      <c r="AT30" s="71" t="n">
        <f aca="false">U30</f>
        <v>0</v>
      </c>
      <c r="AU30" s="71" t="n">
        <f aca="false">V30</f>
        <v>0</v>
      </c>
    </row>
    <row r="31" customFormat="false" ht="15" hidden="false" customHeight="false" outlineLevel="0" collapsed="false">
      <c r="A31" s="128" t="s">
        <v>1590</v>
      </c>
      <c r="B31" s="128" t="s">
        <v>757</v>
      </c>
      <c r="C31" s="128" t="s">
        <v>758</v>
      </c>
      <c r="D31" s="128" t="s">
        <v>1591</v>
      </c>
      <c r="E31" s="128" t="s">
        <v>759</v>
      </c>
      <c r="F31" s="128" t="s">
        <v>60</v>
      </c>
      <c r="G31" s="128" t="s">
        <v>1562</v>
      </c>
      <c r="H31" s="117" t="n">
        <v>46418</v>
      </c>
      <c r="I31" s="117" t="n">
        <v>46660</v>
      </c>
      <c r="J31" s="105" t="n">
        <v>640000</v>
      </c>
      <c r="K31" s="129" t="n">
        <v>3600</v>
      </c>
      <c r="L31" s="127" t="n">
        <v>0.08</v>
      </c>
      <c r="M31" s="127" t="n">
        <v>0</v>
      </c>
      <c r="N31" s="130" t="n">
        <v>16</v>
      </c>
      <c r="O31" s="120" t="n">
        <v>1</v>
      </c>
      <c r="P31" s="127" t="n">
        <v>0.5</v>
      </c>
      <c r="Q31" s="127" t="n">
        <v>0.2</v>
      </c>
      <c r="R31" s="127" t="n">
        <v>0.65</v>
      </c>
      <c r="S31" s="64" t="n">
        <f aca="false">CHOOSE(Assumptions!$C$11,P31,Q31,R31)</f>
        <v>0.5</v>
      </c>
      <c r="T31" s="129" t="n">
        <v>0</v>
      </c>
      <c r="U31" s="105" t="n">
        <v>0</v>
      </c>
      <c r="V31" s="105" t="n">
        <v>0</v>
      </c>
      <c r="W31" s="105" t="n">
        <v>0</v>
      </c>
      <c r="X31" s="105" t="n">
        <v>0</v>
      </c>
      <c r="Y31" s="64" t="n">
        <f aca="false">INDEX(Assumptions!$C$111:$C$113,MATCH(G31,Assumptions!$B$111:$B$113,0))</f>
        <v>0.045</v>
      </c>
      <c r="Z31" s="64" t="n">
        <f aca="false">INDEX(Assumptions!$D$111:$D$113,MATCH(G31,Assumptions!$B$111:$B$113,0))</f>
        <v>0.065</v>
      </c>
      <c r="AA31" s="64" t="n">
        <f aca="false">INDEX(Assumptions!$E$111:$E$113,MATCH(G31,Assumptions!$B$111:$B$113,0))</f>
        <v>0.18</v>
      </c>
      <c r="AB31" s="64" t="n">
        <f aca="false">INDEX(Assumptions!$F$111:$F$113,MATCH(G31,Assumptions!$B$111:$B$113,0))</f>
        <v>0.33</v>
      </c>
      <c r="AC31" s="64" t="n">
        <f aca="false">INDEX(Assumptions!$G$111:$G$113,MATCH(G31,Assumptions!$B$111:$B$113,0))</f>
        <v>0.38</v>
      </c>
      <c r="AD31" s="112" t="n">
        <f aca="false">Y31*Assumptions!$C$64+Z31*Assumptions!$C$65+AA31*Assumptions!$C$66+AB31*Assumptions!$C$67+AC31*Assumptions!$C$68</f>
        <v>196.7</v>
      </c>
      <c r="AE31" s="112" t="n">
        <f aca="false">AD31*(1-L31)</f>
        <v>180.964</v>
      </c>
      <c r="AF31" s="131" t="n">
        <f aca="false">IF(OR(F31="Contracted",F31="Pipeline",F31="Run-rate"),Assumptions!$F$167,0)</f>
        <v>0</v>
      </c>
      <c r="AG31" s="131" t="n">
        <f aca="false">((YEAR(H31)-YEAR(Assumptions!$C$8))*12+MONTH(H31)-MONTH(Assumptions!$C$8)+1)+AF31</f>
        <v>13</v>
      </c>
      <c r="AH31" s="131" t="n">
        <f aca="false">((YEAR(I31)-YEAR(Assumptions!$C$8))*12+MONTH(I31)-MONTH(Assumptions!$C$8)+1)+AF31</f>
        <v>21</v>
      </c>
      <c r="AI31" s="131" t="n">
        <f aca="false">AG31+ROUND((AH31-AG31)/2,0)</f>
        <v>17</v>
      </c>
      <c r="AJ31" s="72" t="n">
        <f aca="false">T31</f>
        <v>0</v>
      </c>
      <c r="AK31" s="72" t="n">
        <f aca="false">K31*S31</f>
        <v>1800</v>
      </c>
      <c r="AL31" s="64" t="n">
        <f aca="false">IF(OR(E31="TM",F31="Completed",F31="Stopped"),0,Assumptions!$F$169)</f>
        <v>0.05</v>
      </c>
      <c r="AM31" s="72" t="n">
        <f aca="false">AJ31+AK31*(1+AL31)</f>
        <v>1890</v>
      </c>
      <c r="AN31" s="131" t="n">
        <f aca="false">MAX(AG31,Assumptions!$C$10+1)</f>
        <v>13</v>
      </c>
      <c r="AO31" s="72" t="n">
        <f aca="false">SUMIFS(Assumptions!$E$200:$AB$200,Assumptions!$E$187:$AB$187,"&gt;="&amp;AN31,Assumptions!$E$187:$AB$187,"&lt;="&amp;AH31)+MAX(0,AH31-MAX(24,AN31-1))*AVERAGE(Assumptions!$Q$200:$AB$200)</f>
        <v>1245.6</v>
      </c>
      <c r="AP31" s="71" t="n">
        <f aca="false">J31*S31</f>
        <v>320000</v>
      </c>
      <c r="AQ31" s="71" t="n">
        <f aca="false">INDEX(Engagements!$E$408:$AB$408,24)</f>
        <v>355702.8384</v>
      </c>
      <c r="AR31" s="64" t="str">
        <f aca="false">"n/a"</f>
        <v>n/a</v>
      </c>
      <c r="AS31" s="64" t="n">
        <f aca="false">0</f>
        <v>0</v>
      </c>
      <c r="AT31" s="71" t="n">
        <f aca="false">U31</f>
        <v>0</v>
      </c>
      <c r="AU31" s="71" t="n">
        <f aca="false">V31</f>
        <v>0</v>
      </c>
    </row>
    <row r="32" customFormat="false" ht="15" hidden="false" customHeight="false" outlineLevel="0" collapsed="false">
      <c r="A32" s="128" t="s">
        <v>1592</v>
      </c>
      <c r="B32" s="128" t="s">
        <v>761</v>
      </c>
      <c r="C32" s="128" t="s">
        <v>762</v>
      </c>
      <c r="D32" s="128" t="s">
        <v>1593</v>
      </c>
      <c r="E32" s="128" t="s">
        <v>765</v>
      </c>
      <c r="F32" s="128" t="s">
        <v>60</v>
      </c>
      <c r="G32" s="128" t="s">
        <v>1566</v>
      </c>
      <c r="H32" s="117" t="n">
        <v>46387</v>
      </c>
      <c r="I32" s="117" t="n">
        <v>46477</v>
      </c>
      <c r="J32" s="105" t="n">
        <v>175000</v>
      </c>
      <c r="K32" s="129" t="n">
        <v>870</v>
      </c>
      <c r="L32" s="64" t="n">
        <f aca="false">IF(AD32=0,0,1-AE32/AD32)</f>
        <v>0.0263822590157005</v>
      </c>
      <c r="M32" s="127" t="n">
        <v>0</v>
      </c>
      <c r="N32" s="130" t="n">
        <v>9</v>
      </c>
      <c r="O32" s="120" t="n">
        <v>0</v>
      </c>
      <c r="P32" s="127" t="n">
        <v>0.6</v>
      </c>
      <c r="Q32" s="127" t="n">
        <v>0.4</v>
      </c>
      <c r="R32" s="127" t="n">
        <v>0.75</v>
      </c>
      <c r="S32" s="64" t="n">
        <f aca="false">CHOOSE(Assumptions!$C$11,P32,Q32,R32)</f>
        <v>0.6</v>
      </c>
      <c r="T32" s="129" t="n">
        <v>0</v>
      </c>
      <c r="U32" s="105" t="n">
        <v>0</v>
      </c>
      <c r="V32" s="105" t="n">
        <v>0</v>
      </c>
      <c r="W32" s="105" t="n">
        <v>0</v>
      </c>
      <c r="X32" s="105" t="n">
        <v>0</v>
      </c>
      <c r="Y32" s="64" t="n">
        <f aca="false">INDEX(Assumptions!$C$111:$C$113,MATCH(G32,Assumptions!$B$111:$B$113,0))</f>
        <v>0.08</v>
      </c>
      <c r="Z32" s="64" t="n">
        <f aca="false">INDEX(Assumptions!$D$111:$D$113,MATCH(G32,Assumptions!$B$111:$B$113,0))</f>
        <v>0.08</v>
      </c>
      <c r="AA32" s="64" t="n">
        <f aca="false">INDEX(Assumptions!$E$111:$E$113,MATCH(G32,Assumptions!$B$111:$B$113,0))</f>
        <v>0.19</v>
      </c>
      <c r="AB32" s="64" t="n">
        <f aca="false">INDEX(Assumptions!$F$111:$F$113,MATCH(G32,Assumptions!$B$111:$B$113,0))</f>
        <v>0.31</v>
      </c>
      <c r="AC32" s="64" t="n">
        <f aca="false">INDEX(Assumptions!$G$111:$G$113,MATCH(G32,Assumptions!$B$111:$B$113,0))</f>
        <v>0.34</v>
      </c>
      <c r="AD32" s="112" t="n">
        <f aca="false">Y32*Assumptions!$C$64+Z32*Assumptions!$C$65+AA32*Assumptions!$C$66+AB32*Assumptions!$C$67+AC32*Assumptions!$C$68</f>
        <v>206.6</v>
      </c>
      <c r="AE32" s="112" t="n">
        <f aca="false">IF(K32=0,0,J32/K32)</f>
        <v>201.149425287356</v>
      </c>
      <c r="AF32" s="131" t="n">
        <f aca="false">IF(OR(F32="Contracted",F32="Pipeline",F32="Run-rate"),Assumptions!$F$167,0)</f>
        <v>0</v>
      </c>
      <c r="AG32" s="131" t="n">
        <f aca="false">((YEAR(H32)-YEAR(Assumptions!$C$8))*12+MONTH(H32)-MONTH(Assumptions!$C$8)+1)+AF32</f>
        <v>12</v>
      </c>
      <c r="AH32" s="131" t="n">
        <f aca="false">((YEAR(I32)-YEAR(Assumptions!$C$8))*12+MONTH(I32)-MONTH(Assumptions!$C$8)+1)+AF32</f>
        <v>15</v>
      </c>
      <c r="AI32" s="131" t="n">
        <f aca="false">AG32+ROUND((AH32-AG32)/2,0)</f>
        <v>14</v>
      </c>
      <c r="AJ32" s="72" t="n">
        <f aca="false">T32</f>
        <v>0</v>
      </c>
      <c r="AK32" s="72" t="n">
        <f aca="false">K32*S32</f>
        <v>522</v>
      </c>
      <c r="AL32" s="64" t="n">
        <f aca="false">IF(OR(E32="TM",F32="Completed",F32="Stopped"),0,Assumptions!$F$169)</f>
        <v>0.05</v>
      </c>
      <c r="AM32" s="72" t="n">
        <f aca="false">AJ32+AK32*(1+AL32)</f>
        <v>548.1</v>
      </c>
      <c r="AN32" s="131" t="n">
        <f aca="false">MAX(AG32,Assumptions!$C$10+1)</f>
        <v>12</v>
      </c>
      <c r="AO32" s="72" t="n">
        <f aca="false">SUMIFS(Assumptions!$E$200:$AB$200,Assumptions!$E$187:$AB$187,"&gt;="&amp;AN32,Assumptions!$E$187:$AB$187,"&lt;="&amp;AH32)+MAX(0,AH32-MAX(24,AN32-1))*AVERAGE(Assumptions!$Q$200:$AB$200)</f>
        <v>551.2</v>
      </c>
      <c r="AP32" s="71" t="n">
        <f aca="false">J32*S32</f>
        <v>105000</v>
      </c>
      <c r="AQ32" s="71" t="str">
        <f aca="false">"n/a"</f>
        <v>n/a</v>
      </c>
      <c r="AR32" s="64" t="str">
        <f aca="false">"n/a"</f>
        <v>n/a</v>
      </c>
      <c r="AS32" s="64" t="n">
        <f aca="false">0</f>
        <v>0</v>
      </c>
      <c r="AT32" s="71" t="n">
        <f aca="false">U32</f>
        <v>0</v>
      </c>
      <c r="AU32" s="71" t="n">
        <f aca="false">V32</f>
        <v>0</v>
      </c>
    </row>
    <row r="33" customFormat="false" ht="15" hidden="false" customHeight="false" outlineLevel="0" collapsed="false">
      <c r="A33" s="128" t="s">
        <v>1594</v>
      </c>
      <c r="B33" s="128" t="s">
        <v>781</v>
      </c>
      <c r="C33" s="128" t="s">
        <v>758</v>
      </c>
      <c r="D33" s="128" t="s">
        <v>1595</v>
      </c>
      <c r="E33" s="128" t="s">
        <v>755</v>
      </c>
      <c r="F33" s="128" t="s">
        <v>60</v>
      </c>
      <c r="G33" s="128" t="s">
        <v>1562</v>
      </c>
      <c r="H33" s="117" t="n">
        <v>46418</v>
      </c>
      <c r="I33" s="117" t="n">
        <v>46599</v>
      </c>
      <c r="J33" s="105" t="n">
        <v>435000</v>
      </c>
      <c r="K33" s="129" t="n">
        <v>2400</v>
      </c>
      <c r="L33" s="127" t="n">
        <v>0.05</v>
      </c>
      <c r="M33" s="127" t="n">
        <v>0.03</v>
      </c>
      <c r="N33" s="130" t="n">
        <v>20</v>
      </c>
      <c r="O33" s="120" t="n">
        <v>1</v>
      </c>
      <c r="P33" s="127" t="n">
        <v>0.55</v>
      </c>
      <c r="Q33" s="127" t="n">
        <v>0.35</v>
      </c>
      <c r="R33" s="127" t="n">
        <v>0.7</v>
      </c>
      <c r="S33" s="64" t="n">
        <f aca="false">CHOOSE(Assumptions!$C$11,P33,Q33,R33)</f>
        <v>0.55</v>
      </c>
      <c r="T33" s="129" t="n">
        <v>0</v>
      </c>
      <c r="U33" s="105" t="n">
        <v>0</v>
      </c>
      <c r="V33" s="105" t="n">
        <v>0</v>
      </c>
      <c r="W33" s="105" t="n">
        <v>0</v>
      </c>
      <c r="X33" s="105" t="n">
        <v>0</v>
      </c>
      <c r="Y33" s="64" t="n">
        <f aca="false">INDEX(Assumptions!$C$111:$C$113,MATCH(G33,Assumptions!$B$111:$B$113,0))</f>
        <v>0.045</v>
      </c>
      <c r="Z33" s="64" t="n">
        <f aca="false">INDEX(Assumptions!$D$111:$D$113,MATCH(G33,Assumptions!$B$111:$B$113,0))</f>
        <v>0.065</v>
      </c>
      <c r="AA33" s="64" t="n">
        <f aca="false">INDEX(Assumptions!$E$111:$E$113,MATCH(G33,Assumptions!$B$111:$B$113,0))</f>
        <v>0.18</v>
      </c>
      <c r="AB33" s="64" t="n">
        <f aca="false">INDEX(Assumptions!$F$111:$F$113,MATCH(G33,Assumptions!$B$111:$B$113,0))</f>
        <v>0.33</v>
      </c>
      <c r="AC33" s="64" t="n">
        <f aca="false">INDEX(Assumptions!$G$111:$G$113,MATCH(G33,Assumptions!$B$111:$B$113,0))</f>
        <v>0.38</v>
      </c>
      <c r="AD33" s="112" t="n">
        <f aca="false">Y33*Assumptions!$C$64+Z33*Assumptions!$C$65+AA33*Assumptions!$C$66+AB33*Assumptions!$C$67+AC33*Assumptions!$C$68</f>
        <v>196.7</v>
      </c>
      <c r="AE33" s="112" t="n">
        <f aca="false">AD33*(1-L33)</f>
        <v>186.865</v>
      </c>
      <c r="AF33" s="131" t="n">
        <f aca="false">IF(OR(F33="Contracted",F33="Pipeline",F33="Run-rate"),Assumptions!$F$167,0)</f>
        <v>0</v>
      </c>
      <c r="AG33" s="131" t="n">
        <f aca="false">((YEAR(H33)-YEAR(Assumptions!$C$8))*12+MONTH(H33)-MONTH(Assumptions!$C$8)+1)+AF33</f>
        <v>13</v>
      </c>
      <c r="AH33" s="131" t="n">
        <f aca="false">((YEAR(I33)-YEAR(Assumptions!$C$8))*12+MONTH(I33)-MONTH(Assumptions!$C$8)+1)+AF33</f>
        <v>19</v>
      </c>
      <c r="AI33" s="131" t="n">
        <f aca="false">AG33+ROUND((AH33-AG33)/2,0)</f>
        <v>16</v>
      </c>
      <c r="AJ33" s="72" t="n">
        <f aca="false">T33</f>
        <v>0</v>
      </c>
      <c r="AK33" s="72" t="n">
        <f aca="false">K33*S33</f>
        <v>1320</v>
      </c>
      <c r="AL33" s="64" t="n">
        <f aca="false">IF(OR(E33="TM",F33="Completed",F33="Stopped"),0,Assumptions!$F$169)</f>
        <v>0</v>
      </c>
      <c r="AM33" s="72" t="n">
        <f aca="false">AJ33+AK33*(1+AL33)</f>
        <v>1320</v>
      </c>
      <c r="AN33" s="131" t="n">
        <f aca="false">MAX(AG33,Assumptions!$C$10+1)</f>
        <v>13</v>
      </c>
      <c r="AO33" s="72" t="n">
        <f aca="false">SUMIFS(Assumptions!$E$200:$AB$200,Assumptions!$E$187:$AB$187,"&gt;="&amp;AN33,Assumptions!$E$187:$AB$187,"&lt;="&amp;AH33)+MAX(0,AH33-MAX(24,AN33-1))*AVERAGE(Assumptions!$Q$200:$AB$200)</f>
        <v>963.2</v>
      </c>
      <c r="AP33" s="71" t="n">
        <f aca="false">J33*S33</f>
        <v>239250</v>
      </c>
      <c r="AQ33" s="71" t="str">
        <f aca="false">"n/a"</f>
        <v>n/a</v>
      </c>
      <c r="AR33" s="64" t="str">
        <f aca="false">"n/a"</f>
        <v>n/a</v>
      </c>
      <c r="AS33" s="64" t="n">
        <f aca="false">MAX(0,IF(ISNUMBER(AR33),AR33,M33)+Assumptions!$F$170)</f>
        <v>0.04</v>
      </c>
      <c r="AT33" s="71" t="n">
        <f aca="false">U33</f>
        <v>0</v>
      </c>
      <c r="AU33" s="71" t="n">
        <f aca="false">V33</f>
        <v>0</v>
      </c>
    </row>
    <row r="34" customFormat="false" ht="15" hidden="false" customHeight="false" outlineLevel="0" collapsed="false">
      <c r="A34" s="128" t="s">
        <v>1596</v>
      </c>
      <c r="B34" s="128" t="s">
        <v>786</v>
      </c>
      <c r="C34" s="128" t="s">
        <v>754</v>
      </c>
      <c r="D34" s="128" t="s">
        <v>1597</v>
      </c>
      <c r="E34" s="128" t="s">
        <v>765</v>
      </c>
      <c r="F34" s="128" t="s">
        <v>60</v>
      </c>
      <c r="G34" s="128" t="s">
        <v>1566</v>
      </c>
      <c r="H34" s="117" t="n">
        <v>46446</v>
      </c>
      <c r="I34" s="117" t="n">
        <v>46538</v>
      </c>
      <c r="J34" s="105" t="n">
        <v>150000</v>
      </c>
      <c r="K34" s="129" t="n">
        <v>740</v>
      </c>
      <c r="L34" s="64" t="n">
        <f aca="false">IF(AD34=0,0,1-AE34/AD34)</f>
        <v>0.0188639753015358</v>
      </c>
      <c r="M34" s="127" t="n">
        <v>0</v>
      </c>
      <c r="N34" s="130" t="n">
        <v>8</v>
      </c>
      <c r="O34" s="120" t="n">
        <v>0</v>
      </c>
      <c r="P34" s="127" t="n">
        <v>0.4</v>
      </c>
      <c r="Q34" s="127" t="n">
        <v>0.2</v>
      </c>
      <c r="R34" s="127" t="n">
        <v>0.55</v>
      </c>
      <c r="S34" s="64" t="n">
        <f aca="false">CHOOSE(Assumptions!$C$11,P34,Q34,R34)</f>
        <v>0.4</v>
      </c>
      <c r="T34" s="129" t="n">
        <v>0</v>
      </c>
      <c r="U34" s="105" t="n">
        <v>0</v>
      </c>
      <c r="V34" s="105" t="n">
        <v>0</v>
      </c>
      <c r="W34" s="105" t="n">
        <v>0</v>
      </c>
      <c r="X34" s="105" t="n">
        <v>0</v>
      </c>
      <c r="Y34" s="64" t="n">
        <f aca="false">INDEX(Assumptions!$C$111:$C$113,MATCH(G34,Assumptions!$B$111:$B$113,0))</f>
        <v>0.08</v>
      </c>
      <c r="Z34" s="64" t="n">
        <f aca="false">INDEX(Assumptions!$D$111:$D$113,MATCH(G34,Assumptions!$B$111:$B$113,0))</f>
        <v>0.08</v>
      </c>
      <c r="AA34" s="64" t="n">
        <f aca="false">INDEX(Assumptions!$E$111:$E$113,MATCH(G34,Assumptions!$B$111:$B$113,0))</f>
        <v>0.19</v>
      </c>
      <c r="AB34" s="64" t="n">
        <f aca="false">INDEX(Assumptions!$F$111:$F$113,MATCH(G34,Assumptions!$B$111:$B$113,0))</f>
        <v>0.31</v>
      </c>
      <c r="AC34" s="64" t="n">
        <f aca="false">INDEX(Assumptions!$G$111:$G$113,MATCH(G34,Assumptions!$B$111:$B$113,0))</f>
        <v>0.34</v>
      </c>
      <c r="AD34" s="112" t="n">
        <f aca="false">Y34*Assumptions!$C$64+Z34*Assumptions!$C$65+AA34*Assumptions!$C$66+AB34*Assumptions!$C$67+AC34*Assumptions!$C$68</f>
        <v>206.6</v>
      </c>
      <c r="AE34" s="112" t="n">
        <f aca="false">IF(K34=0,0,J34/K34)</f>
        <v>202.702702702703</v>
      </c>
      <c r="AF34" s="131" t="n">
        <f aca="false">IF(OR(F34="Contracted",F34="Pipeline",F34="Run-rate"),Assumptions!$F$167,0)</f>
        <v>0</v>
      </c>
      <c r="AG34" s="131" t="n">
        <f aca="false">((YEAR(H34)-YEAR(Assumptions!$C$8))*12+MONTH(H34)-MONTH(Assumptions!$C$8)+1)+AF34</f>
        <v>14</v>
      </c>
      <c r="AH34" s="131" t="n">
        <f aca="false">((YEAR(I34)-YEAR(Assumptions!$C$8))*12+MONTH(I34)-MONTH(Assumptions!$C$8)+1)+AF34</f>
        <v>17</v>
      </c>
      <c r="AI34" s="131" t="n">
        <f aca="false">AG34+ROUND((AH34-AG34)/2,0)</f>
        <v>16</v>
      </c>
      <c r="AJ34" s="72" t="n">
        <f aca="false">T34</f>
        <v>0</v>
      </c>
      <c r="AK34" s="72" t="n">
        <f aca="false">K34*S34</f>
        <v>296</v>
      </c>
      <c r="AL34" s="64" t="n">
        <f aca="false">IF(OR(E34="TM",F34="Completed",F34="Stopped"),0,Assumptions!$F$169)</f>
        <v>0.05</v>
      </c>
      <c r="AM34" s="72" t="n">
        <f aca="false">AJ34+AK34*(1+AL34)</f>
        <v>310.8</v>
      </c>
      <c r="AN34" s="131" t="n">
        <f aca="false">MAX(AG34,Assumptions!$C$10+1)</f>
        <v>14</v>
      </c>
      <c r="AO34" s="72" t="n">
        <f aca="false">SUMIFS(Assumptions!$E$200:$AB$200,Assumptions!$E$187:$AB$187,"&gt;="&amp;AN34,Assumptions!$E$187:$AB$187,"&lt;="&amp;AH34)+MAX(0,AH34-MAX(24,AN34-1))*AVERAGE(Assumptions!$Q$200:$AB$200)</f>
        <v>534.4</v>
      </c>
      <c r="AP34" s="71" t="n">
        <f aca="false">J34*S34</f>
        <v>60000</v>
      </c>
      <c r="AQ34" s="71" t="str">
        <f aca="false">"n/a"</f>
        <v>n/a</v>
      </c>
      <c r="AR34" s="64" t="str">
        <f aca="false">"n/a"</f>
        <v>n/a</v>
      </c>
      <c r="AS34" s="64" t="n">
        <f aca="false">0</f>
        <v>0</v>
      </c>
      <c r="AT34" s="71" t="n">
        <f aca="false">U34</f>
        <v>0</v>
      </c>
      <c r="AU34" s="71" t="n">
        <f aca="false">V34</f>
        <v>0</v>
      </c>
    </row>
    <row r="35" customFormat="false" ht="15" hidden="false" customHeight="false" outlineLevel="0" collapsed="false">
      <c r="A35" s="128" t="s">
        <v>1598</v>
      </c>
      <c r="B35" s="128" t="s">
        <v>1288</v>
      </c>
      <c r="C35" s="128" t="s">
        <v>762</v>
      </c>
      <c r="D35" s="128" t="s">
        <v>1570</v>
      </c>
      <c r="E35" s="128" t="s">
        <v>765</v>
      </c>
      <c r="F35" s="128" t="s">
        <v>60</v>
      </c>
      <c r="G35" s="128" t="s">
        <v>1562</v>
      </c>
      <c r="H35" s="117" t="n">
        <v>46418</v>
      </c>
      <c r="I35" s="117" t="n">
        <v>46568</v>
      </c>
      <c r="J35" s="105" t="n">
        <v>270000</v>
      </c>
      <c r="K35" s="129" t="n">
        <v>1500</v>
      </c>
      <c r="L35" s="64" t="n">
        <f aca="false">IF(AD35=0,0,1-AE35/AD35)</f>
        <v>0.084900864260295</v>
      </c>
      <c r="M35" s="127" t="n">
        <v>0</v>
      </c>
      <c r="N35" s="130" t="n">
        <v>12</v>
      </c>
      <c r="O35" s="120" t="n">
        <v>0</v>
      </c>
      <c r="P35" s="127" t="n">
        <v>0.35</v>
      </c>
      <c r="Q35" s="127" t="n">
        <v>0.2</v>
      </c>
      <c r="R35" s="127" t="n">
        <v>0.5</v>
      </c>
      <c r="S35" s="64" t="n">
        <f aca="false">CHOOSE(Assumptions!$C$11,P35,Q35,R35)</f>
        <v>0.35</v>
      </c>
      <c r="T35" s="129" t="n">
        <v>0</v>
      </c>
      <c r="U35" s="105" t="n">
        <v>0</v>
      </c>
      <c r="V35" s="105" t="n">
        <v>0</v>
      </c>
      <c r="W35" s="105" t="n">
        <v>0</v>
      </c>
      <c r="X35" s="105" t="n">
        <v>0</v>
      </c>
      <c r="Y35" s="64" t="n">
        <f aca="false">INDEX(Assumptions!$C$111:$C$113,MATCH(G35,Assumptions!$B$111:$B$113,0))</f>
        <v>0.045</v>
      </c>
      <c r="Z35" s="64" t="n">
        <f aca="false">INDEX(Assumptions!$D$111:$D$113,MATCH(G35,Assumptions!$B$111:$B$113,0))</f>
        <v>0.065</v>
      </c>
      <c r="AA35" s="64" t="n">
        <f aca="false">INDEX(Assumptions!$E$111:$E$113,MATCH(G35,Assumptions!$B$111:$B$113,0))</f>
        <v>0.18</v>
      </c>
      <c r="AB35" s="64" t="n">
        <f aca="false">INDEX(Assumptions!$F$111:$F$113,MATCH(G35,Assumptions!$B$111:$B$113,0))</f>
        <v>0.33</v>
      </c>
      <c r="AC35" s="64" t="n">
        <f aca="false">INDEX(Assumptions!$G$111:$G$113,MATCH(G35,Assumptions!$B$111:$B$113,0))</f>
        <v>0.38</v>
      </c>
      <c r="AD35" s="112" t="n">
        <f aca="false">Y35*Assumptions!$C$64+Z35*Assumptions!$C$65+AA35*Assumptions!$C$66+AB35*Assumptions!$C$67+AC35*Assumptions!$C$68</f>
        <v>196.7</v>
      </c>
      <c r="AE35" s="112" t="n">
        <f aca="false">IF(K35=0,0,J35/K35)</f>
        <v>180</v>
      </c>
      <c r="AF35" s="131" t="n">
        <f aca="false">IF(OR(F35="Contracted",F35="Pipeline",F35="Run-rate"),Assumptions!$F$167,0)</f>
        <v>0</v>
      </c>
      <c r="AG35" s="131" t="n">
        <f aca="false">((YEAR(H35)-YEAR(Assumptions!$C$8))*12+MONTH(H35)-MONTH(Assumptions!$C$8)+1)+AF35</f>
        <v>13</v>
      </c>
      <c r="AH35" s="131" t="n">
        <f aca="false">((YEAR(I35)-YEAR(Assumptions!$C$8))*12+MONTH(I35)-MONTH(Assumptions!$C$8)+1)+AF35</f>
        <v>18</v>
      </c>
      <c r="AI35" s="131" t="n">
        <f aca="false">AG35+ROUND((AH35-AG35)/2,0)</f>
        <v>16</v>
      </c>
      <c r="AJ35" s="72" t="n">
        <f aca="false">T35</f>
        <v>0</v>
      </c>
      <c r="AK35" s="72" t="n">
        <f aca="false">K35*S35</f>
        <v>525</v>
      </c>
      <c r="AL35" s="64" t="n">
        <f aca="false">IF(OR(E35="TM",F35="Completed",F35="Stopped"),0,Assumptions!$F$169)</f>
        <v>0.05</v>
      </c>
      <c r="AM35" s="72" t="n">
        <f aca="false">AJ35+AK35*(1+AL35)</f>
        <v>551.25</v>
      </c>
      <c r="AN35" s="131" t="n">
        <f aca="false">MAX(AG35,Assumptions!$C$10+1)</f>
        <v>13</v>
      </c>
      <c r="AO35" s="72" t="n">
        <f aca="false">SUMIFS(Assumptions!$E$200:$AB$200,Assumptions!$E$187:$AB$187,"&gt;="&amp;AN35,Assumptions!$E$187:$AB$187,"&lt;="&amp;AH35)+MAX(0,AH35-MAX(24,AN35-1))*AVERAGE(Assumptions!$Q$200:$AB$200)</f>
        <v>815.2</v>
      </c>
      <c r="AP35" s="71" t="n">
        <f aca="false">J35*S35</f>
        <v>94500</v>
      </c>
      <c r="AQ35" s="71" t="str">
        <f aca="false">"n/a"</f>
        <v>n/a</v>
      </c>
      <c r="AR35" s="64" t="str">
        <f aca="false">"n/a"</f>
        <v>n/a</v>
      </c>
      <c r="AS35" s="64" t="n">
        <f aca="false">0</f>
        <v>0</v>
      </c>
      <c r="AT35" s="71" t="n">
        <f aca="false">U35</f>
        <v>0</v>
      </c>
      <c r="AU35" s="71" t="n">
        <f aca="false">V35</f>
        <v>0</v>
      </c>
    </row>
    <row r="36" customFormat="false" ht="15" hidden="false" customHeight="false" outlineLevel="0" collapsed="false">
      <c r="A36" s="128" t="s">
        <v>1599</v>
      </c>
      <c r="B36" s="128" t="s">
        <v>773</v>
      </c>
      <c r="C36" s="128" t="s">
        <v>762</v>
      </c>
      <c r="D36" s="128" t="s">
        <v>1600</v>
      </c>
      <c r="E36" s="128" t="s">
        <v>755</v>
      </c>
      <c r="F36" s="128" t="s">
        <v>60</v>
      </c>
      <c r="G36" s="128" t="s">
        <v>1562</v>
      </c>
      <c r="H36" s="117" t="n">
        <v>46387</v>
      </c>
      <c r="I36" s="117" t="n">
        <v>46538</v>
      </c>
      <c r="J36" s="105" t="n">
        <v>330000</v>
      </c>
      <c r="K36" s="129" t="n">
        <v>1800</v>
      </c>
      <c r="L36" s="127" t="n">
        <v>0.05</v>
      </c>
      <c r="M36" s="127" t="n">
        <v>0.02</v>
      </c>
      <c r="N36" s="130" t="n">
        <v>22</v>
      </c>
      <c r="O36" s="120" t="n">
        <v>1</v>
      </c>
      <c r="P36" s="127" t="n">
        <v>0.6</v>
      </c>
      <c r="Q36" s="127" t="n">
        <v>0.4</v>
      </c>
      <c r="R36" s="127" t="n">
        <v>0.75</v>
      </c>
      <c r="S36" s="64" t="n">
        <f aca="false">CHOOSE(Assumptions!$C$11,P36,Q36,R36)</f>
        <v>0.6</v>
      </c>
      <c r="T36" s="129" t="n">
        <v>0</v>
      </c>
      <c r="U36" s="105" t="n">
        <v>0</v>
      </c>
      <c r="V36" s="105" t="n">
        <v>0</v>
      </c>
      <c r="W36" s="105" t="n">
        <v>0</v>
      </c>
      <c r="X36" s="105" t="n">
        <v>0</v>
      </c>
      <c r="Y36" s="64" t="n">
        <f aca="false">INDEX(Assumptions!$C$111:$C$113,MATCH(G36,Assumptions!$B$111:$B$113,0))</f>
        <v>0.045</v>
      </c>
      <c r="Z36" s="64" t="n">
        <f aca="false">INDEX(Assumptions!$D$111:$D$113,MATCH(G36,Assumptions!$B$111:$B$113,0))</f>
        <v>0.065</v>
      </c>
      <c r="AA36" s="64" t="n">
        <f aca="false">INDEX(Assumptions!$E$111:$E$113,MATCH(G36,Assumptions!$B$111:$B$113,0))</f>
        <v>0.18</v>
      </c>
      <c r="AB36" s="64" t="n">
        <f aca="false">INDEX(Assumptions!$F$111:$F$113,MATCH(G36,Assumptions!$B$111:$B$113,0))</f>
        <v>0.33</v>
      </c>
      <c r="AC36" s="64" t="n">
        <f aca="false">INDEX(Assumptions!$G$111:$G$113,MATCH(G36,Assumptions!$B$111:$B$113,0))</f>
        <v>0.38</v>
      </c>
      <c r="AD36" s="112" t="n">
        <f aca="false">Y36*Assumptions!$C$64+Z36*Assumptions!$C$65+AA36*Assumptions!$C$66+AB36*Assumptions!$C$67+AC36*Assumptions!$C$68</f>
        <v>196.7</v>
      </c>
      <c r="AE36" s="112" t="n">
        <f aca="false">AD36*(1-L36)</f>
        <v>186.865</v>
      </c>
      <c r="AF36" s="131" t="n">
        <f aca="false">IF(OR(F36="Contracted",F36="Pipeline",F36="Run-rate"),Assumptions!$F$167,0)</f>
        <v>0</v>
      </c>
      <c r="AG36" s="131" t="n">
        <f aca="false">((YEAR(H36)-YEAR(Assumptions!$C$8))*12+MONTH(H36)-MONTH(Assumptions!$C$8)+1)+AF36</f>
        <v>12</v>
      </c>
      <c r="AH36" s="131" t="n">
        <f aca="false">((YEAR(I36)-YEAR(Assumptions!$C$8))*12+MONTH(I36)-MONTH(Assumptions!$C$8)+1)+AF36</f>
        <v>17</v>
      </c>
      <c r="AI36" s="131" t="n">
        <f aca="false">AG36+ROUND((AH36-AG36)/2,0)</f>
        <v>15</v>
      </c>
      <c r="AJ36" s="72" t="n">
        <f aca="false">T36</f>
        <v>0</v>
      </c>
      <c r="AK36" s="72" t="n">
        <f aca="false">K36*S36</f>
        <v>1080</v>
      </c>
      <c r="AL36" s="64" t="n">
        <f aca="false">IF(OR(E36="TM",F36="Completed",F36="Stopped"),0,Assumptions!$F$169)</f>
        <v>0</v>
      </c>
      <c r="AM36" s="72" t="n">
        <f aca="false">AJ36+AK36*(1+AL36)</f>
        <v>1080</v>
      </c>
      <c r="AN36" s="131" t="n">
        <f aca="false">MAX(AG36,Assumptions!$C$10+1)</f>
        <v>12</v>
      </c>
      <c r="AO36" s="72" t="n">
        <f aca="false">SUMIFS(Assumptions!$E$200:$AB$200,Assumptions!$E$187:$AB$187,"&gt;="&amp;AN36,Assumptions!$E$187:$AB$187,"&lt;="&amp;AH36)+MAX(0,AH36-MAX(24,AN36-1))*AVERAGE(Assumptions!$Q$200:$AB$200)</f>
        <v>812</v>
      </c>
      <c r="AP36" s="71" t="n">
        <f aca="false">J36*S36</f>
        <v>198000</v>
      </c>
      <c r="AQ36" s="71" t="str">
        <f aca="false">"n/a"</f>
        <v>n/a</v>
      </c>
      <c r="AR36" s="64" t="str">
        <f aca="false">"n/a"</f>
        <v>n/a</v>
      </c>
      <c r="AS36" s="64" t="n">
        <f aca="false">MAX(0,IF(ISNUMBER(AR36),AR36,M36)+Assumptions!$F$170)</f>
        <v>0.03</v>
      </c>
      <c r="AT36" s="71" t="n">
        <f aca="false">U36</f>
        <v>0</v>
      </c>
      <c r="AU36" s="71" t="n">
        <f aca="false">V36</f>
        <v>0</v>
      </c>
    </row>
    <row r="37" customFormat="false" ht="15" hidden="false" customHeight="false" outlineLevel="0" collapsed="false">
      <c r="A37" s="128" t="s">
        <v>1601</v>
      </c>
      <c r="B37" s="128" t="s">
        <v>779</v>
      </c>
      <c r="C37" s="128" t="s">
        <v>758</v>
      </c>
      <c r="D37" s="128" t="s">
        <v>1602</v>
      </c>
      <c r="E37" s="128" t="s">
        <v>755</v>
      </c>
      <c r="F37" s="128" t="s">
        <v>60</v>
      </c>
      <c r="G37" s="128" t="s">
        <v>1562</v>
      </c>
      <c r="H37" s="117" t="n">
        <v>46418</v>
      </c>
      <c r="I37" s="117" t="n">
        <v>46568</v>
      </c>
      <c r="J37" s="105" t="n">
        <v>326000</v>
      </c>
      <c r="K37" s="129" t="n">
        <v>1800</v>
      </c>
      <c r="L37" s="127" t="n">
        <v>0.05</v>
      </c>
      <c r="M37" s="127" t="n">
        <v>0.03</v>
      </c>
      <c r="N37" s="130" t="n">
        <v>14</v>
      </c>
      <c r="O37" s="120" t="n">
        <v>1</v>
      </c>
      <c r="P37" s="127" t="n">
        <v>0.7</v>
      </c>
      <c r="Q37" s="127" t="n">
        <v>0.45</v>
      </c>
      <c r="R37" s="127" t="n">
        <v>0.8</v>
      </c>
      <c r="S37" s="64" t="n">
        <f aca="false">CHOOSE(Assumptions!$C$11,P37,Q37,R37)</f>
        <v>0.7</v>
      </c>
      <c r="T37" s="129" t="n">
        <v>0</v>
      </c>
      <c r="U37" s="105" t="n">
        <v>0</v>
      </c>
      <c r="V37" s="105" t="n">
        <v>0</v>
      </c>
      <c r="W37" s="105" t="n">
        <v>0</v>
      </c>
      <c r="X37" s="105" t="n">
        <v>0</v>
      </c>
      <c r="Y37" s="64" t="n">
        <f aca="false">INDEX(Assumptions!$C$111:$C$113,MATCH(G37,Assumptions!$B$111:$B$113,0))</f>
        <v>0.045</v>
      </c>
      <c r="Z37" s="64" t="n">
        <f aca="false">INDEX(Assumptions!$D$111:$D$113,MATCH(G37,Assumptions!$B$111:$B$113,0))</f>
        <v>0.065</v>
      </c>
      <c r="AA37" s="64" t="n">
        <f aca="false">INDEX(Assumptions!$E$111:$E$113,MATCH(G37,Assumptions!$B$111:$B$113,0))</f>
        <v>0.18</v>
      </c>
      <c r="AB37" s="64" t="n">
        <f aca="false">INDEX(Assumptions!$F$111:$F$113,MATCH(G37,Assumptions!$B$111:$B$113,0))</f>
        <v>0.33</v>
      </c>
      <c r="AC37" s="64" t="n">
        <f aca="false">INDEX(Assumptions!$G$111:$G$113,MATCH(G37,Assumptions!$B$111:$B$113,0))</f>
        <v>0.38</v>
      </c>
      <c r="AD37" s="112" t="n">
        <f aca="false">Y37*Assumptions!$C$64+Z37*Assumptions!$C$65+AA37*Assumptions!$C$66+AB37*Assumptions!$C$67+AC37*Assumptions!$C$68</f>
        <v>196.7</v>
      </c>
      <c r="AE37" s="112" t="n">
        <f aca="false">AD37*(1-L37)</f>
        <v>186.865</v>
      </c>
      <c r="AF37" s="131" t="n">
        <f aca="false">IF(OR(F37="Contracted",F37="Pipeline",F37="Run-rate"),Assumptions!$F$167,0)</f>
        <v>0</v>
      </c>
      <c r="AG37" s="131" t="n">
        <f aca="false">((YEAR(H37)-YEAR(Assumptions!$C$8))*12+MONTH(H37)-MONTH(Assumptions!$C$8)+1)+AF37</f>
        <v>13</v>
      </c>
      <c r="AH37" s="131" t="n">
        <f aca="false">((YEAR(I37)-YEAR(Assumptions!$C$8))*12+MONTH(I37)-MONTH(Assumptions!$C$8)+1)+AF37</f>
        <v>18</v>
      </c>
      <c r="AI37" s="131" t="n">
        <f aca="false">AG37+ROUND((AH37-AG37)/2,0)</f>
        <v>16</v>
      </c>
      <c r="AJ37" s="72" t="n">
        <f aca="false">T37</f>
        <v>0</v>
      </c>
      <c r="AK37" s="72" t="n">
        <f aca="false">K37*S37</f>
        <v>1260</v>
      </c>
      <c r="AL37" s="64" t="n">
        <f aca="false">IF(OR(E37="TM",F37="Completed",F37="Stopped"),0,Assumptions!$F$169)</f>
        <v>0</v>
      </c>
      <c r="AM37" s="72" t="n">
        <f aca="false">AJ37+AK37*(1+AL37)</f>
        <v>1260</v>
      </c>
      <c r="AN37" s="131" t="n">
        <f aca="false">MAX(AG37,Assumptions!$C$10+1)</f>
        <v>13</v>
      </c>
      <c r="AO37" s="72" t="n">
        <f aca="false">SUMIFS(Assumptions!$E$200:$AB$200,Assumptions!$E$187:$AB$187,"&gt;="&amp;AN37,Assumptions!$E$187:$AB$187,"&lt;="&amp;AH37)+MAX(0,AH37-MAX(24,AN37-1))*AVERAGE(Assumptions!$Q$200:$AB$200)</f>
        <v>815.2</v>
      </c>
      <c r="AP37" s="71" t="n">
        <f aca="false">J37*S37</f>
        <v>228200</v>
      </c>
      <c r="AQ37" s="71" t="str">
        <f aca="false">"n/a"</f>
        <v>n/a</v>
      </c>
      <c r="AR37" s="64" t="str">
        <f aca="false">"n/a"</f>
        <v>n/a</v>
      </c>
      <c r="AS37" s="64" t="n">
        <f aca="false">MAX(0,IF(ISNUMBER(AR37),AR37,M37)+Assumptions!$F$170)</f>
        <v>0.04</v>
      </c>
      <c r="AT37" s="71" t="n">
        <f aca="false">U37</f>
        <v>0</v>
      </c>
      <c r="AU37" s="71" t="n">
        <f aca="false">V37</f>
        <v>0</v>
      </c>
    </row>
    <row r="38" customFormat="false" ht="15" hidden="false" customHeight="false" outlineLevel="0" collapsed="false">
      <c r="A38" s="128" t="s">
        <v>1603</v>
      </c>
      <c r="B38" s="128" t="s">
        <v>776</v>
      </c>
      <c r="C38" s="128" t="s">
        <v>762</v>
      </c>
      <c r="D38" s="128" t="s">
        <v>1604</v>
      </c>
      <c r="E38" s="128" t="s">
        <v>765</v>
      </c>
      <c r="F38" s="128" t="s">
        <v>60</v>
      </c>
      <c r="G38" s="128" t="s">
        <v>1562</v>
      </c>
      <c r="H38" s="117" t="n">
        <v>46446</v>
      </c>
      <c r="I38" s="117" t="n">
        <v>46599</v>
      </c>
      <c r="J38" s="105" t="n">
        <v>260000</v>
      </c>
      <c r="K38" s="129" t="n">
        <v>1350</v>
      </c>
      <c r="L38" s="64" t="n">
        <f aca="false">IF(AD38=0,0,1-AE38/AD38)</f>
        <v>0.0208815831591633</v>
      </c>
      <c r="M38" s="127" t="n">
        <v>0</v>
      </c>
      <c r="N38" s="130" t="n">
        <v>10</v>
      </c>
      <c r="O38" s="120" t="n">
        <v>0</v>
      </c>
      <c r="P38" s="127" t="n">
        <v>0.45</v>
      </c>
      <c r="Q38" s="127" t="n">
        <v>0.25</v>
      </c>
      <c r="R38" s="127" t="n">
        <v>0.6</v>
      </c>
      <c r="S38" s="64" t="n">
        <f aca="false">CHOOSE(Assumptions!$C$11,P38,Q38,R38)</f>
        <v>0.45</v>
      </c>
      <c r="T38" s="129" t="n">
        <v>0</v>
      </c>
      <c r="U38" s="105" t="n">
        <v>0</v>
      </c>
      <c r="V38" s="105" t="n">
        <v>0</v>
      </c>
      <c r="W38" s="105" t="n">
        <v>0</v>
      </c>
      <c r="X38" s="105" t="n">
        <v>0</v>
      </c>
      <c r="Y38" s="64" t="n">
        <f aca="false">INDEX(Assumptions!$C$111:$C$113,MATCH(G38,Assumptions!$B$111:$B$113,0))</f>
        <v>0.045</v>
      </c>
      <c r="Z38" s="64" t="n">
        <f aca="false">INDEX(Assumptions!$D$111:$D$113,MATCH(G38,Assumptions!$B$111:$B$113,0))</f>
        <v>0.065</v>
      </c>
      <c r="AA38" s="64" t="n">
        <f aca="false">INDEX(Assumptions!$E$111:$E$113,MATCH(G38,Assumptions!$B$111:$B$113,0))</f>
        <v>0.18</v>
      </c>
      <c r="AB38" s="64" t="n">
        <f aca="false">INDEX(Assumptions!$F$111:$F$113,MATCH(G38,Assumptions!$B$111:$B$113,0))</f>
        <v>0.33</v>
      </c>
      <c r="AC38" s="64" t="n">
        <f aca="false">INDEX(Assumptions!$G$111:$G$113,MATCH(G38,Assumptions!$B$111:$B$113,0))</f>
        <v>0.38</v>
      </c>
      <c r="AD38" s="112" t="n">
        <f aca="false">Y38*Assumptions!$C$64+Z38*Assumptions!$C$65+AA38*Assumptions!$C$66+AB38*Assumptions!$C$67+AC38*Assumptions!$C$68</f>
        <v>196.7</v>
      </c>
      <c r="AE38" s="112" t="n">
        <f aca="false">IF(K38=0,0,J38/K38)</f>
        <v>192.592592592593</v>
      </c>
      <c r="AF38" s="131" t="n">
        <f aca="false">IF(OR(F38="Contracted",F38="Pipeline",F38="Run-rate"),Assumptions!$F$167,0)</f>
        <v>0</v>
      </c>
      <c r="AG38" s="131" t="n">
        <f aca="false">((YEAR(H38)-YEAR(Assumptions!$C$8))*12+MONTH(H38)-MONTH(Assumptions!$C$8)+1)+AF38</f>
        <v>14</v>
      </c>
      <c r="AH38" s="131" t="n">
        <f aca="false">((YEAR(I38)-YEAR(Assumptions!$C$8))*12+MONTH(I38)-MONTH(Assumptions!$C$8)+1)+AF38</f>
        <v>19</v>
      </c>
      <c r="AI38" s="131" t="n">
        <f aca="false">AG38+ROUND((AH38-AG38)/2,0)</f>
        <v>17</v>
      </c>
      <c r="AJ38" s="72" t="n">
        <f aca="false">T38</f>
        <v>0</v>
      </c>
      <c r="AK38" s="72" t="n">
        <f aca="false">K38*S38</f>
        <v>607.5</v>
      </c>
      <c r="AL38" s="64" t="n">
        <f aca="false">IF(OR(E38="TM",F38="Completed",F38="Stopped"),0,Assumptions!$F$169)</f>
        <v>0.05</v>
      </c>
      <c r="AM38" s="72" t="n">
        <f aca="false">AJ38+AK38*(1+AL38)</f>
        <v>637.875</v>
      </c>
      <c r="AN38" s="131" t="n">
        <f aca="false">MAX(AG38,Assumptions!$C$10+1)</f>
        <v>14</v>
      </c>
      <c r="AO38" s="72" t="n">
        <f aca="false">SUMIFS(Assumptions!$E$200:$AB$200,Assumptions!$E$187:$AB$187,"&gt;="&amp;AN38,Assumptions!$E$187:$AB$187,"&lt;="&amp;AH38)+MAX(0,AH38-MAX(24,AN38-1))*AVERAGE(Assumptions!$Q$200:$AB$200)</f>
        <v>835.2</v>
      </c>
      <c r="AP38" s="71" t="n">
        <f aca="false">J38*S38</f>
        <v>117000</v>
      </c>
      <c r="AQ38" s="71" t="str">
        <f aca="false">"n/a"</f>
        <v>n/a</v>
      </c>
      <c r="AR38" s="64" t="str">
        <f aca="false">"n/a"</f>
        <v>n/a</v>
      </c>
      <c r="AS38" s="64" t="n">
        <f aca="false">0</f>
        <v>0</v>
      </c>
      <c r="AT38" s="71" t="n">
        <f aca="false">U38</f>
        <v>0</v>
      </c>
      <c r="AU38" s="71" t="n">
        <f aca="false">V38</f>
        <v>0</v>
      </c>
    </row>
    <row r="39" customFormat="false" ht="15" hidden="false" customHeight="false" outlineLevel="0" collapsed="false">
      <c r="A39" s="128" t="s">
        <v>1605</v>
      </c>
      <c r="B39" s="128" t="s">
        <v>767</v>
      </c>
      <c r="C39" s="128" t="s">
        <v>758</v>
      </c>
      <c r="D39" s="128" t="s">
        <v>1606</v>
      </c>
      <c r="E39" s="128" t="s">
        <v>759</v>
      </c>
      <c r="F39" s="128" t="s">
        <v>60</v>
      </c>
      <c r="G39" s="128" t="s">
        <v>1562</v>
      </c>
      <c r="H39" s="117" t="n">
        <v>46477</v>
      </c>
      <c r="I39" s="117" t="n">
        <v>46691</v>
      </c>
      <c r="J39" s="105" t="n">
        <v>380000</v>
      </c>
      <c r="K39" s="129" t="n">
        <v>2000</v>
      </c>
      <c r="L39" s="127" t="n">
        <v>0.06</v>
      </c>
      <c r="M39" s="127" t="n">
        <v>0</v>
      </c>
      <c r="N39" s="130" t="n">
        <v>10</v>
      </c>
      <c r="O39" s="120" t="n">
        <v>1</v>
      </c>
      <c r="P39" s="127" t="n">
        <v>0.4</v>
      </c>
      <c r="Q39" s="127" t="n">
        <v>0.2</v>
      </c>
      <c r="R39" s="127" t="n">
        <v>0.55</v>
      </c>
      <c r="S39" s="64" t="n">
        <f aca="false">CHOOSE(Assumptions!$C$11,P39,Q39,R39)</f>
        <v>0.4</v>
      </c>
      <c r="T39" s="129" t="n">
        <v>0</v>
      </c>
      <c r="U39" s="105" t="n">
        <v>0</v>
      </c>
      <c r="V39" s="105" t="n">
        <v>0</v>
      </c>
      <c r="W39" s="105" t="n">
        <v>0</v>
      </c>
      <c r="X39" s="105" t="n">
        <v>0</v>
      </c>
      <c r="Y39" s="64" t="n">
        <f aca="false">INDEX(Assumptions!$C$111:$C$113,MATCH(G39,Assumptions!$B$111:$B$113,0))</f>
        <v>0.045</v>
      </c>
      <c r="Z39" s="64" t="n">
        <f aca="false">INDEX(Assumptions!$D$111:$D$113,MATCH(G39,Assumptions!$B$111:$B$113,0))</f>
        <v>0.065</v>
      </c>
      <c r="AA39" s="64" t="n">
        <f aca="false">INDEX(Assumptions!$E$111:$E$113,MATCH(G39,Assumptions!$B$111:$B$113,0))</f>
        <v>0.18</v>
      </c>
      <c r="AB39" s="64" t="n">
        <f aca="false">INDEX(Assumptions!$F$111:$F$113,MATCH(G39,Assumptions!$B$111:$B$113,0))</f>
        <v>0.33</v>
      </c>
      <c r="AC39" s="64" t="n">
        <f aca="false">INDEX(Assumptions!$G$111:$G$113,MATCH(G39,Assumptions!$B$111:$B$113,0))</f>
        <v>0.38</v>
      </c>
      <c r="AD39" s="112" t="n">
        <f aca="false">Y39*Assumptions!$C$64+Z39*Assumptions!$C$65+AA39*Assumptions!$C$66+AB39*Assumptions!$C$67+AC39*Assumptions!$C$68</f>
        <v>196.7</v>
      </c>
      <c r="AE39" s="112" t="n">
        <f aca="false">AD39*(1-L39)</f>
        <v>184.898</v>
      </c>
      <c r="AF39" s="131" t="n">
        <f aca="false">IF(OR(F39="Contracted",F39="Pipeline",F39="Run-rate"),Assumptions!$F$167,0)</f>
        <v>0</v>
      </c>
      <c r="AG39" s="131" t="n">
        <f aca="false">((YEAR(H39)-YEAR(Assumptions!$C$8))*12+MONTH(H39)-MONTH(Assumptions!$C$8)+1)+AF39</f>
        <v>15</v>
      </c>
      <c r="AH39" s="131" t="n">
        <f aca="false">((YEAR(I39)-YEAR(Assumptions!$C$8))*12+MONTH(I39)-MONTH(Assumptions!$C$8)+1)+AF39</f>
        <v>22</v>
      </c>
      <c r="AI39" s="131" t="n">
        <f aca="false">AG39+ROUND((AH39-AG39)/2,0)</f>
        <v>19</v>
      </c>
      <c r="AJ39" s="72" t="n">
        <f aca="false">T39</f>
        <v>0</v>
      </c>
      <c r="AK39" s="72" t="n">
        <f aca="false">K39*S39</f>
        <v>800</v>
      </c>
      <c r="AL39" s="64" t="n">
        <f aca="false">IF(OR(E39="TM",F39="Completed",F39="Stopped"),0,Assumptions!$F$169)</f>
        <v>0.05</v>
      </c>
      <c r="AM39" s="72" t="n">
        <f aca="false">AJ39+AK39*(1+AL39)</f>
        <v>840</v>
      </c>
      <c r="AN39" s="131" t="n">
        <f aca="false">MAX(AG39,Assumptions!$C$10+1)</f>
        <v>15</v>
      </c>
      <c r="AO39" s="72" t="n">
        <f aca="false">SUMIFS(Assumptions!$E$200:$AB$200,Assumptions!$E$187:$AB$187,"&gt;="&amp;AN39,Assumptions!$E$187:$AB$187,"&lt;="&amp;AH39)+MAX(0,AH39-MAX(24,AN39-1))*AVERAGE(Assumptions!$Q$200:$AB$200)</f>
        <v>1124.8</v>
      </c>
      <c r="AP39" s="71" t="n">
        <f aca="false">J39*S39</f>
        <v>152000</v>
      </c>
      <c r="AQ39" s="71" t="n">
        <f aca="false">INDEX(Engagements!$E$524:$AB$524,24)</f>
        <v>161526.8928</v>
      </c>
      <c r="AR39" s="64" t="str">
        <f aca="false">"n/a"</f>
        <v>n/a</v>
      </c>
      <c r="AS39" s="64" t="n">
        <f aca="false">0</f>
        <v>0</v>
      </c>
      <c r="AT39" s="71" t="n">
        <f aca="false">U39</f>
        <v>0</v>
      </c>
      <c r="AU39" s="71" t="n">
        <f aca="false">V39</f>
        <v>0</v>
      </c>
    </row>
    <row r="41" customFormat="false" ht="15" hidden="false" customHeight="false" outlineLevel="0" collapsed="false">
      <c r="A41" s="26" t="s">
        <v>1607</v>
      </c>
    </row>
    <row r="42" customFormat="false" ht="15" hidden="false" customHeight="false" outlineLevel="0" collapsed="false">
      <c r="A42" s="26" t="s">
        <v>1608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3"/>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4"/>
    <col collapsed="false" customWidth="true" hidden="false" outlineLevel="0" max="3" min="3" style="0" width="12"/>
    <col collapsed="false" customWidth="true" hidden="false" outlineLevel="0" max="4" min="4" style="0" width="13"/>
    <col collapsed="false" customWidth="true" hidden="false" outlineLevel="0" max="6" min="5" style="0" width="8"/>
    <col collapsed="false" customWidth="true" hidden="false" outlineLevel="0" max="7" min="7" style="0" width="36"/>
    <col collapsed="false" customWidth="true" hidden="false" outlineLevel="0" max="9" min="8" style="0" width="10"/>
    <col collapsed="false" customWidth="true" hidden="false" outlineLevel="0" max="10" min="10" style="0" width="12"/>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1609</v>
      </c>
    </row>
    <row r="3" customFormat="false" ht="15" hidden="false" customHeight="false" outlineLevel="0" collapsed="false">
      <c r="A3" s="26" t="s">
        <v>1610</v>
      </c>
    </row>
    <row r="6" customFormat="false" ht="66" hidden="false" customHeight="true" outlineLevel="0" collapsed="false">
      <c r="A6" s="27" t="s">
        <v>731</v>
      </c>
      <c r="B6" s="28" t="s">
        <v>1611</v>
      </c>
      <c r="C6" s="28" t="s">
        <v>1612</v>
      </c>
      <c r="D6" s="28" t="s">
        <v>1613</v>
      </c>
      <c r="E6" s="28" t="s">
        <v>1614</v>
      </c>
      <c r="F6" s="28" t="s">
        <v>1615</v>
      </c>
      <c r="G6" s="28" t="s">
        <v>1257</v>
      </c>
      <c r="H6" s="28" t="s">
        <v>1616</v>
      </c>
      <c r="I6" s="28" t="s">
        <v>1617</v>
      </c>
      <c r="J6" s="28" t="s">
        <v>1618</v>
      </c>
    </row>
    <row r="7" customFormat="false" ht="15" hidden="false" customHeight="false" outlineLevel="0" collapsed="false">
      <c r="A7" s="128" t="s">
        <v>753</v>
      </c>
      <c r="B7" s="128" t="s">
        <v>1264</v>
      </c>
      <c r="C7" s="128" t="s">
        <v>1619</v>
      </c>
      <c r="D7" s="128" t="s">
        <v>1620</v>
      </c>
      <c r="E7" s="64" t="n">
        <f aca="false">IF(D7="DE",Assumptions!$C$18,0)</f>
        <v>0.19</v>
      </c>
      <c r="F7" s="120" t="n">
        <v>2022</v>
      </c>
      <c r="G7" s="128" t="s">
        <v>1265</v>
      </c>
      <c r="H7" s="120" t="n">
        <v>45</v>
      </c>
      <c r="I7" s="131" t="n">
        <f aca="false">H7+Assumptions!$F$180</f>
        <v>45</v>
      </c>
      <c r="J7" s="105" t="n">
        <v>276656.23</v>
      </c>
    </row>
    <row r="8" customFormat="false" ht="15" hidden="false" customHeight="false" outlineLevel="0" collapsed="false">
      <c r="A8" s="128" t="s">
        <v>757</v>
      </c>
      <c r="B8" s="128" t="s">
        <v>1266</v>
      </c>
      <c r="C8" s="128" t="s">
        <v>1619</v>
      </c>
      <c r="D8" s="128" t="s">
        <v>1620</v>
      </c>
      <c r="E8" s="64" t="n">
        <f aca="false">IF(D8="DE",Assumptions!$C$18,0)</f>
        <v>0.19</v>
      </c>
      <c r="F8" s="120" t="n">
        <v>2019</v>
      </c>
      <c r="G8" s="128" t="s">
        <v>1267</v>
      </c>
      <c r="H8" s="120" t="n">
        <v>60</v>
      </c>
      <c r="I8" s="131" t="n">
        <f aca="false">H8+Assumptions!$F$180</f>
        <v>60</v>
      </c>
      <c r="J8" s="105" t="n">
        <v>229971.32</v>
      </c>
    </row>
    <row r="9" customFormat="false" ht="15" hidden="false" customHeight="false" outlineLevel="0" collapsed="false">
      <c r="A9" s="128" t="s">
        <v>761</v>
      </c>
      <c r="B9" s="128" t="s">
        <v>1268</v>
      </c>
      <c r="C9" s="128" t="s">
        <v>1619</v>
      </c>
      <c r="D9" s="128" t="s">
        <v>1620</v>
      </c>
      <c r="E9" s="64" t="n">
        <f aca="false">IF(D9="DE",Assumptions!$C$18,0)</f>
        <v>0.19</v>
      </c>
      <c r="F9" s="120" t="n">
        <v>2023</v>
      </c>
      <c r="G9" s="128" t="s">
        <v>1269</v>
      </c>
      <c r="H9" s="120" t="n">
        <v>30</v>
      </c>
      <c r="I9" s="131" t="n">
        <f aca="false">H9+Assumptions!$F$180</f>
        <v>30</v>
      </c>
      <c r="J9" s="105" t="n">
        <v>157568.91</v>
      </c>
    </row>
    <row r="10" customFormat="false" ht="15" hidden="false" customHeight="false" outlineLevel="0" collapsed="false">
      <c r="A10" s="128" t="s">
        <v>764</v>
      </c>
      <c r="B10" s="128" t="s">
        <v>1270</v>
      </c>
      <c r="C10" s="128" t="s">
        <v>1619</v>
      </c>
      <c r="D10" s="128" t="s">
        <v>1620</v>
      </c>
      <c r="E10" s="64" t="n">
        <f aca="false">IF(D10="DE",Assumptions!$C$18,0)</f>
        <v>0.19</v>
      </c>
      <c r="F10" s="120" t="n">
        <v>2021</v>
      </c>
      <c r="G10" s="128" t="s">
        <v>1271</v>
      </c>
      <c r="H10" s="120" t="n">
        <v>30</v>
      </c>
      <c r="I10" s="131" t="n">
        <f aca="false">H10+Assumptions!$F$180</f>
        <v>30</v>
      </c>
      <c r="J10" s="105" t="n">
        <v>90554.26</v>
      </c>
    </row>
    <row r="11" customFormat="false" ht="15" hidden="false" customHeight="false" outlineLevel="0" collapsed="false">
      <c r="A11" s="128" t="s">
        <v>767</v>
      </c>
      <c r="B11" s="128" t="s">
        <v>1272</v>
      </c>
      <c r="C11" s="128" t="s">
        <v>1619</v>
      </c>
      <c r="D11" s="128" t="s">
        <v>1620</v>
      </c>
      <c r="E11" s="64" t="n">
        <f aca="false">IF(D11="DE",Assumptions!$C$18,0)</f>
        <v>0.19</v>
      </c>
      <c r="F11" s="120" t="n">
        <v>2024</v>
      </c>
      <c r="G11" s="128" t="s">
        <v>1273</v>
      </c>
      <c r="H11" s="120" t="n">
        <v>30</v>
      </c>
      <c r="I11" s="131" t="n">
        <f aca="false">H11+Assumptions!$F$180</f>
        <v>30</v>
      </c>
      <c r="J11" s="105" t="n">
        <v>37909.1</v>
      </c>
    </row>
    <row r="12" customFormat="false" ht="15" hidden="false" customHeight="false" outlineLevel="0" collapsed="false">
      <c r="A12" s="128" t="s">
        <v>779</v>
      </c>
      <c r="B12" s="128" t="s">
        <v>1274</v>
      </c>
      <c r="C12" s="128" t="s">
        <v>1619</v>
      </c>
      <c r="D12" s="128" t="s">
        <v>1620</v>
      </c>
      <c r="E12" s="64" t="n">
        <f aca="false">IF(D12="DE",Assumptions!$C$18,0)</f>
        <v>0.19</v>
      </c>
      <c r="F12" s="120" t="n">
        <v>2026</v>
      </c>
      <c r="G12" s="128" t="s">
        <v>1275</v>
      </c>
      <c r="H12" s="120" t="n">
        <v>45</v>
      </c>
      <c r="I12" s="131" t="n">
        <f aca="false">H12+Assumptions!$F$180</f>
        <v>45</v>
      </c>
      <c r="J12" s="105" t="n">
        <v>0</v>
      </c>
    </row>
    <row r="13" customFormat="false" ht="15" hidden="false" customHeight="false" outlineLevel="0" collapsed="false">
      <c r="A13" s="128" t="s">
        <v>771</v>
      </c>
      <c r="B13" s="128" t="s">
        <v>1276</v>
      </c>
      <c r="C13" s="128" t="s">
        <v>1619</v>
      </c>
      <c r="D13" s="128" t="s">
        <v>1620</v>
      </c>
      <c r="E13" s="64" t="n">
        <f aca="false">IF(D13="DE",Assumptions!$C$18,0)</f>
        <v>0.19</v>
      </c>
      <c r="F13" s="120" t="n">
        <v>2025</v>
      </c>
      <c r="G13" s="128" t="s">
        <v>1277</v>
      </c>
      <c r="H13" s="120" t="n">
        <v>30</v>
      </c>
      <c r="I13" s="131" t="n">
        <f aca="false">H13+Assumptions!$F$180</f>
        <v>30</v>
      </c>
      <c r="J13" s="105" t="n">
        <v>66721.47</v>
      </c>
    </row>
    <row r="14" customFormat="false" ht="15" hidden="false" customHeight="false" outlineLevel="0" collapsed="false">
      <c r="A14" s="128" t="s">
        <v>776</v>
      </c>
      <c r="B14" s="128" t="s">
        <v>1278</v>
      </c>
      <c r="C14" s="128" t="s">
        <v>1619</v>
      </c>
      <c r="D14" s="128" t="s">
        <v>1620</v>
      </c>
      <c r="E14" s="64" t="n">
        <f aca="false">IF(D14="DE",Assumptions!$C$18,0)</f>
        <v>0.19</v>
      </c>
      <c r="F14" s="120" t="n">
        <v>2024</v>
      </c>
      <c r="G14" s="128" t="s">
        <v>1279</v>
      </c>
      <c r="H14" s="120" t="n">
        <v>45</v>
      </c>
      <c r="I14" s="131" t="n">
        <f aca="false">H14+Assumptions!$F$180</f>
        <v>45</v>
      </c>
      <c r="J14" s="105" t="n">
        <v>98191.65</v>
      </c>
    </row>
    <row r="15" customFormat="false" ht="15" hidden="false" customHeight="false" outlineLevel="0" collapsed="false">
      <c r="A15" s="128" t="s">
        <v>786</v>
      </c>
      <c r="B15" s="128" t="s">
        <v>1280</v>
      </c>
      <c r="C15" s="128" t="s">
        <v>1619</v>
      </c>
      <c r="D15" s="128" t="s">
        <v>1620</v>
      </c>
      <c r="E15" s="64" t="n">
        <f aca="false">IF(D15="DE",Assumptions!$C$18,0)</f>
        <v>0.19</v>
      </c>
      <c r="F15" s="120" t="n">
        <v>2026</v>
      </c>
      <c r="G15" s="128" t="s">
        <v>1281</v>
      </c>
      <c r="H15" s="120" t="n">
        <v>30</v>
      </c>
      <c r="I15" s="131" t="n">
        <f aca="false">H15+Assumptions!$F$180</f>
        <v>30</v>
      </c>
      <c r="J15" s="105" t="n">
        <v>0</v>
      </c>
    </row>
    <row r="16" customFormat="false" ht="15" hidden="false" customHeight="false" outlineLevel="0" collapsed="false">
      <c r="A16" s="128" t="s">
        <v>769</v>
      </c>
      <c r="B16" s="128" t="s">
        <v>1282</v>
      </c>
      <c r="C16" s="128" t="s">
        <v>1619</v>
      </c>
      <c r="D16" s="128" t="s">
        <v>1620</v>
      </c>
      <c r="E16" s="64" t="n">
        <f aca="false">IF(D16="DE",Assumptions!$C$18,0)</f>
        <v>0.19</v>
      </c>
      <c r="F16" s="120" t="n">
        <v>2025</v>
      </c>
      <c r="G16" s="128" t="s">
        <v>1283</v>
      </c>
      <c r="H16" s="120" t="n">
        <v>45</v>
      </c>
      <c r="I16" s="131" t="n">
        <f aca="false">H16+Assumptions!$F$180</f>
        <v>45</v>
      </c>
      <c r="J16" s="105" t="n">
        <v>0</v>
      </c>
    </row>
    <row r="17" customFormat="false" ht="15" hidden="false" customHeight="false" outlineLevel="0" collapsed="false">
      <c r="A17" s="128" t="s">
        <v>781</v>
      </c>
      <c r="B17" s="128" t="s">
        <v>1284</v>
      </c>
      <c r="C17" s="128" t="s">
        <v>1621</v>
      </c>
      <c r="D17" s="128" t="s">
        <v>1622</v>
      </c>
      <c r="E17" s="64" t="n">
        <f aca="false">IF(D17="DE",Assumptions!$C$18,0)</f>
        <v>0</v>
      </c>
      <c r="F17" s="120" t="n">
        <v>2026</v>
      </c>
      <c r="G17" s="128" t="s">
        <v>1285</v>
      </c>
      <c r="H17" s="120" t="n">
        <v>30</v>
      </c>
      <c r="I17" s="131" t="n">
        <f aca="false">H17+Assumptions!$F$180</f>
        <v>30</v>
      </c>
      <c r="J17" s="105" t="n">
        <v>0</v>
      </c>
    </row>
    <row r="18" customFormat="false" ht="15" hidden="false" customHeight="false" outlineLevel="0" collapsed="false">
      <c r="A18" s="128" t="s">
        <v>773</v>
      </c>
      <c r="B18" s="128" t="s">
        <v>1286</v>
      </c>
      <c r="C18" s="128" t="s">
        <v>1623</v>
      </c>
      <c r="D18" s="128" t="s">
        <v>1624</v>
      </c>
      <c r="E18" s="64" t="n">
        <f aca="false">IF(D18="DE",Assumptions!$C$18,0)</f>
        <v>0</v>
      </c>
      <c r="F18" s="120" t="n">
        <v>2026</v>
      </c>
      <c r="G18" s="128" t="s">
        <v>1287</v>
      </c>
      <c r="H18" s="120" t="n">
        <v>30</v>
      </c>
      <c r="I18" s="131" t="n">
        <f aca="false">H18+Assumptions!$F$180</f>
        <v>30</v>
      </c>
      <c r="J18" s="105" t="n">
        <v>0</v>
      </c>
    </row>
    <row r="19" customFormat="false" ht="15" hidden="false" customHeight="false" outlineLevel="0" collapsed="false">
      <c r="A19" s="128" t="s">
        <v>1288</v>
      </c>
      <c r="B19" s="128" t="s">
        <v>1289</v>
      </c>
      <c r="C19" s="128" t="s">
        <v>1619</v>
      </c>
      <c r="D19" s="128" t="s">
        <v>1620</v>
      </c>
      <c r="E19" s="64" t="n">
        <f aca="false">IF(D19="DE",Assumptions!$C$18,0)</f>
        <v>0.19</v>
      </c>
      <c r="F19" s="120"/>
      <c r="G19" s="128" t="s">
        <v>1290</v>
      </c>
      <c r="H19" s="120" t="n">
        <v>30</v>
      </c>
      <c r="I19" s="131" t="n">
        <f aca="false">H19+Assumptions!$F$180</f>
        <v>30</v>
      </c>
      <c r="J19" s="105" t="n">
        <v>0</v>
      </c>
    </row>
    <row r="20" customFormat="false" ht="15" hidden="false" customHeight="false" outlineLevel="0" collapsed="false">
      <c r="A20" s="128" t="s">
        <v>1241</v>
      </c>
      <c r="B20" s="128" t="s">
        <v>1291</v>
      </c>
      <c r="C20" s="128" t="s">
        <v>1619</v>
      </c>
      <c r="D20" s="128" t="s">
        <v>1620</v>
      </c>
      <c r="E20" s="64" t="n">
        <f aca="false">IF(D20="DE",Assumptions!$C$18,0)</f>
        <v>0.19</v>
      </c>
      <c r="F20" s="120"/>
      <c r="G20" s="128" t="s">
        <v>1292</v>
      </c>
      <c r="H20" s="120" t="n">
        <v>35</v>
      </c>
      <c r="I20" s="131" t="n">
        <f aca="false">H20+Assumptions!$F$180</f>
        <v>35</v>
      </c>
      <c r="J20" s="105" t="n">
        <v>0</v>
      </c>
    </row>
    <row r="21" customFormat="false" ht="15" hidden="false" customHeight="false" outlineLevel="0" collapsed="false">
      <c r="A21" s="79" t="s">
        <v>522</v>
      </c>
      <c r="J21" s="80" t="n">
        <f aca="false">SUM(J7:J20)</f>
        <v>957572.94</v>
      </c>
    </row>
    <row r="23" customFormat="false" ht="15" hidden="false" customHeight="false" outlineLevel="0" collapsed="false">
      <c r="A23" s="26" t="s">
        <v>1625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21" t="s">
        <v>1626</v>
      </c>
    </row>
    <row r="2" customFormat="false" ht="17.35" hidden="false" customHeight="false" outlineLevel="0" collapsed="false">
      <c r="A2" s="22" t="s">
        <v>1627</v>
      </c>
    </row>
    <row r="3" customFormat="false" ht="15" hidden="false" customHeight="false" outlineLevel="0" collapsed="false">
      <c r="A3" s="26" t="s">
        <v>1628</v>
      </c>
    </row>
    <row r="5" customFormat="false" ht="15" hidden="false" customHeight="false" outlineLevel="0" collapsed="false">
      <c r="A5" s="23" t="s">
        <v>1629</v>
      </c>
      <c r="B5" s="24"/>
      <c r="C5" s="24"/>
      <c r="D5" s="24"/>
      <c r="E5" s="24"/>
      <c r="F5" s="24"/>
      <c r="G5" s="24"/>
      <c r="H5" s="24"/>
    </row>
    <row r="6" customFormat="false" ht="15" hidden="false" customHeight="false" outlineLevel="0" collapsed="false">
      <c r="A6" s="29" t="s">
        <v>1630</v>
      </c>
      <c r="B6" s="60"/>
      <c r="C6" s="128" t="s">
        <v>1631</v>
      </c>
      <c r="D6" s="60" t="s">
        <v>1632</v>
      </c>
    </row>
    <row r="7" customFormat="false" ht="15" hidden="false" customHeight="false" outlineLevel="0" collapsed="false">
      <c r="A7" s="29" t="s">
        <v>1633</v>
      </c>
      <c r="B7" s="60"/>
      <c r="C7" s="128" t="s">
        <v>549</v>
      </c>
    </row>
    <row r="8" customFormat="false" ht="15" hidden="false" customHeight="false" outlineLevel="0" collapsed="false">
      <c r="A8" s="29" t="s">
        <v>1634</v>
      </c>
      <c r="B8" s="60" t="s">
        <v>1635</v>
      </c>
      <c r="C8" s="124" t="n">
        <v>46053</v>
      </c>
      <c r="D8" s="60" t="s">
        <v>1636</v>
      </c>
    </row>
    <row r="9" customFormat="false" ht="15" hidden="false" customHeight="false" outlineLevel="0" collapsed="false">
      <c r="A9" s="29" t="s">
        <v>1637</v>
      </c>
      <c r="B9" s="60" t="s">
        <v>1635</v>
      </c>
      <c r="C9" s="124" t="n">
        <v>46265</v>
      </c>
      <c r="D9" s="60" t="s">
        <v>1638</v>
      </c>
    </row>
    <row r="10" customFormat="false" ht="15" hidden="false" customHeight="false" outlineLevel="0" collapsed="false">
      <c r="A10" s="29" t="s">
        <v>1639</v>
      </c>
      <c r="B10" s="60" t="s">
        <v>1640</v>
      </c>
      <c r="C10" s="37" t="n">
        <f aca="false">MATCH(Assumptions!$C$9,Assumptions!$E$186:$AB$186,0)</f>
        <v>8</v>
      </c>
    </row>
    <row r="11" customFormat="false" ht="15" hidden="false" customHeight="false" outlineLevel="0" collapsed="false">
      <c r="A11" s="29" t="s">
        <v>1641</v>
      </c>
      <c r="B11" s="60" t="s">
        <v>1642</v>
      </c>
      <c r="C11" s="132" t="n">
        <v>1</v>
      </c>
      <c r="D11" s="60" t="s">
        <v>1643</v>
      </c>
    </row>
    <row r="12" customFormat="false" ht="15" hidden="false" customHeight="false" outlineLevel="0" collapsed="false">
      <c r="A12" s="29" t="s">
        <v>1644</v>
      </c>
      <c r="B12" s="60" t="s">
        <v>1640</v>
      </c>
      <c r="C12" s="133" t="str">
        <f aca="false">CHOOSE(Assumptions!$C$11,"Base","Downside","Upside")</f>
        <v>Base</v>
      </c>
    </row>
    <row r="13" customFormat="false" ht="15" hidden="false" customHeight="false" outlineLevel="0" collapsed="false">
      <c r="A13" s="29" t="s">
        <v>661</v>
      </c>
      <c r="B13" s="60" t="s">
        <v>549</v>
      </c>
      <c r="C13" s="105" t="n">
        <v>600000</v>
      </c>
      <c r="D13" s="60" t="s">
        <v>1645</v>
      </c>
    </row>
    <row r="14" customFormat="false" ht="15" hidden="false" customHeight="false" outlineLevel="0" collapsed="false">
      <c r="A14" s="29" t="s">
        <v>1646</v>
      </c>
      <c r="B14" s="60" t="s">
        <v>549</v>
      </c>
      <c r="C14" s="105" t="n">
        <v>750000</v>
      </c>
      <c r="D14" s="60" t="s">
        <v>1647</v>
      </c>
    </row>
    <row r="15" customFormat="false" ht="15" hidden="false" customHeight="false" outlineLevel="0" collapsed="false">
      <c r="A15" s="29" t="s">
        <v>1648</v>
      </c>
      <c r="B15" s="60" t="s">
        <v>1640</v>
      </c>
      <c r="C15" s="110" t="n">
        <f aca="false">Assumptions!$C$9</f>
        <v>46265</v>
      </c>
    </row>
    <row r="17" customFormat="false" ht="15" hidden="false" customHeight="false" outlineLevel="0" collapsed="false">
      <c r="A17" s="23" t="s">
        <v>1649</v>
      </c>
      <c r="B17" s="24"/>
      <c r="C17" s="24"/>
      <c r="D17" s="24"/>
      <c r="E17" s="24"/>
      <c r="F17" s="24"/>
      <c r="G17" s="24"/>
      <c r="H17" s="24"/>
    </row>
    <row r="18" customFormat="false" ht="15" hidden="false" customHeight="false" outlineLevel="0" collapsed="false">
      <c r="A18" s="29" t="s">
        <v>1650</v>
      </c>
      <c r="B18" s="60" t="s">
        <v>1651</v>
      </c>
      <c r="C18" s="127" t="n">
        <v>0.19</v>
      </c>
      <c r="D18" s="60" t="s">
        <v>1652</v>
      </c>
    </row>
    <row r="19" customFormat="false" ht="15" hidden="false" customHeight="false" outlineLevel="0" collapsed="false">
      <c r="A19" s="29" t="s">
        <v>1653</v>
      </c>
      <c r="D19" s="60" t="s">
        <v>1654</v>
      </c>
    </row>
    <row r="20" customFormat="false" ht="15" hidden="false" customHeight="false" outlineLevel="0" collapsed="false">
      <c r="A20" s="29" t="s">
        <v>1655</v>
      </c>
      <c r="B20" s="60" t="s">
        <v>1656</v>
      </c>
      <c r="C20" s="120" t="n">
        <v>1</v>
      </c>
      <c r="D20" s="60" t="s">
        <v>1657</v>
      </c>
    </row>
    <row r="21" customFormat="false" ht="15" hidden="false" customHeight="false" outlineLevel="0" collapsed="false">
      <c r="A21" s="29" t="s">
        <v>1658</v>
      </c>
      <c r="B21" s="60" t="s">
        <v>549</v>
      </c>
      <c r="C21" s="105" t="n">
        <v>82000</v>
      </c>
      <c r="D21" s="60" t="s">
        <v>1659</v>
      </c>
    </row>
    <row r="22" customFormat="false" ht="15" hidden="false" customHeight="false" outlineLevel="0" collapsed="false">
      <c r="A22" s="29" t="s">
        <v>1660</v>
      </c>
      <c r="B22" s="60" t="s">
        <v>549</v>
      </c>
      <c r="C22" s="105" t="n">
        <v>88000</v>
      </c>
      <c r="D22" s="60" t="s">
        <v>1661</v>
      </c>
    </row>
    <row r="23" customFormat="false" ht="15" hidden="false" customHeight="false" outlineLevel="0" collapsed="false">
      <c r="A23" s="29" t="s">
        <v>1662</v>
      </c>
      <c r="B23" s="60" t="s">
        <v>1663</v>
      </c>
      <c r="C23" s="127" t="n">
        <v>0.85</v>
      </c>
      <c r="D23" s="60" t="s">
        <v>1664</v>
      </c>
    </row>
    <row r="24" customFormat="false" ht="15" hidden="false" customHeight="false" outlineLevel="0" collapsed="false">
      <c r="A24" s="29" t="s">
        <v>1665</v>
      </c>
      <c r="B24" s="60" t="s">
        <v>1663</v>
      </c>
      <c r="C24" s="127" t="n">
        <v>0.09</v>
      </c>
      <c r="D24" s="60" t="s">
        <v>1666</v>
      </c>
    </row>
    <row r="25" customFormat="false" ht="15" hidden="false" customHeight="false" outlineLevel="0" collapsed="false">
      <c r="A25" s="29" t="s">
        <v>1667</v>
      </c>
      <c r="B25" s="60" t="s">
        <v>1663</v>
      </c>
      <c r="C25" s="127" t="n">
        <v>0.6</v>
      </c>
      <c r="D25" s="60" t="s">
        <v>1668</v>
      </c>
    </row>
    <row r="26" customFormat="false" ht="15" hidden="false" customHeight="false" outlineLevel="0" collapsed="false">
      <c r="A26" s="29" t="s">
        <v>1669</v>
      </c>
      <c r="B26" s="60" t="s">
        <v>1651</v>
      </c>
      <c r="C26" s="127" t="n">
        <v>0.15</v>
      </c>
      <c r="D26" s="60" t="s">
        <v>1670</v>
      </c>
    </row>
    <row r="27" customFormat="false" ht="15" hidden="false" customHeight="false" outlineLevel="0" collapsed="false">
      <c r="A27" s="29" t="s">
        <v>1671</v>
      </c>
      <c r="B27" s="60" t="s">
        <v>1651</v>
      </c>
      <c r="C27" s="127" t="n">
        <v>0.055</v>
      </c>
      <c r="D27" s="60" t="s">
        <v>1672</v>
      </c>
    </row>
    <row r="28" customFormat="false" ht="15" hidden="false" customHeight="false" outlineLevel="0" collapsed="false">
      <c r="A28" s="29" t="s">
        <v>1673</v>
      </c>
      <c r="B28" s="60" t="s">
        <v>1651</v>
      </c>
      <c r="C28" s="127" t="n">
        <v>0.035</v>
      </c>
      <c r="D28" s="60" t="s">
        <v>1674</v>
      </c>
    </row>
    <row r="29" customFormat="false" ht="15" hidden="false" customHeight="false" outlineLevel="0" collapsed="false">
      <c r="A29" s="29" t="s">
        <v>1675</v>
      </c>
      <c r="B29" s="60" t="s">
        <v>1676</v>
      </c>
      <c r="C29" s="134" t="n">
        <v>4.9</v>
      </c>
      <c r="D29" s="60" t="s">
        <v>1677</v>
      </c>
    </row>
    <row r="30" customFormat="false" ht="15" hidden="false" customHeight="false" outlineLevel="0" collapsed="false">
      <c r="A30" s="29" t="s">
        <v>1678</v>
      </c>
      <c r="B30" s="60" t="s">
        <v>1640</v>
      </c>
      <c r="C30" s="135" t="n">
        <f aca="false">Assumptions!$C$26*(1+Assumptions!$C$27)</f>
        <v>0.15825</v>
      </c>
      <c r="D30" s="60" t="s">
        <v>1679</v>
      </c>
    </row>
    <row r="31" customFormat="false" ht="15" hidden="false" customHeight="false" outlineLevel="0" collapsed="false">
      <c r="A31" s="29" t="s">
        <v>1680</v>
      </c>
      <c r="B31" s="60" t="s">
        <v>1640</v>
      </c>
      <c r="C31" s="135" t="n">
        <f aca="false">Assumptions!$C$28*Assumptions!$C$29</f>
        <v>0.1715</v>
      </c>
      <c r="D31" s="60" t="s">
        <v>1681</v>
      </c>
    </row>
    <row r="32" customFormat="false" ht="15" hidden="false" customHeight="false" outlineLevel="0" collapsed="false">
      <c r="A32" s="29" t="s">
        <v>1682</v>
      </c>
      <c r="B32" s="60" t="s">
        <v>1683</v>
      </c>
      <c r="C32" s="105" t="n">
        <v>200000</v>
      </c>
      <c r="D32" s="60" t="s">
        <v>1684</v>
      </c>
    </row>
    <row r="33" customFormat="false" ht="15" hidden="false" customHeight="false" outlineLevel="0" collapsed="false">
      <c r="A33" s="29" t="s">
        <v>1685</v>
      </c>
      <c r="B33" s="60" t="s">
        <v>1663</v>
      </c>
      <c r="C33" s="127" t="n">
        <v>0.3</v>
      </c>
      <c r="D33" s="60" t="s">
        <v>1686</v>
      </c>
    </row>
    <row r="34" customFormat="false" ht="15" hidden="false" customHeight="false" outlineLevel="0" collapsed="false">
      <c r="A34" s="29" t="s">
        <v>1687</v>
      </c>
      <c r="B34" s="60" t="s">
        <v>1651</v>
      </c>
      <c r="C34" s="136" t="n">
        <v>0.26375</v>
      </c>
      <c r="D34" s="60" t="s">
        <v>1688</v>
      </c>
    </row>
    <row r="35" customFormat="false" ht="15" hidden="false" customHeight="false" outlineLevel="0" collapsed="false">
      <c r="A35" s="29" t="s">
        <v>1689</v>
      </c>
      <c r="B35" s="60" t="s">
        <v>549</v>
      </c>
      <c r="C35" s="105" t="n">
        <v>166300</v>
      </c>
      <c r="D35" s="60" t="s">
        <v>1690</v>
      </c>
    </row>
    <row r="36" customFormat="false" ht="15" hidden="false" customHeight="false" outlineLevel="0" collapsed="false">
      <c r="A36" s="29" t="s">
        <v>1691</v>
      </c>
      <c r="B36" s="60" t="s">
        <v>549</v>
      </c>
      <c r="C36" s="105" t="n">
        <v>180100</v>
      </c>
      <c r="D36" s="60" t="s">
        <v>1692</v>
      </c>
    </row>
    <row r="37" customFormat="false" ht="15" hidden="false" customHeight="false" outlineLevel="0" collapsed="false">
      <c r="A37" s="29" t="s">
        <v>1693</v>
      </c>
      <c r="B37" s="60" t="s">
        <v>549</v>
      </c>
      <c r="C37" s="105" t="n">
        <v>36000</v>
      </c>
      <c r="D37" s="60" t="s">
        <v>1694</v>
      </c>
    </row>
    <row r="38" customFormat="false" ht="15" hidden="false" customHeight="false" outlineLevel="0" collapsed="false">
      <c r="A38" s="29" t="s">
        <v>1695</v>
      </c>
      <c r="B38" s="60" t="s">
        <v>549</v>
      </c>
      <c r="C38" s="105" t="n">
        <v>38000</v>
      </c>
      <c r="D38" s="60" t="s">
        <v>1696</v>
      </c>
    </row>
    <row r="39" customFormat="false" ht="15" hidden="false" customHeight="false" outlineLevel="0" collapsed="false">
      <c r="A39" s="29" t="s">
        <v>1697</v>
      </c>
      <c r="B39" s="60" t="s">
        <v>564</v>
      </c>
      <c r="C39" s="117" t="n">
        <v>46234</v>
      </c>
      <c r="D39" s="60" t="s">
        <v>1698</v>
      </c>
    </row>
    <row r="40" customFormat="false" ht="15" hidden="false" customHeight="false" outlineLevel="0" collapsed="false">
      <c r="A40" s="29" t="s">
        <v>1699</v>
      </c>
      <c r="B40" s="60" t="s">
        <v>1656</v>
      </c>
      <c r="C40" s="120" t="n">
        <v>1</v>
      </c>
      <c r="D40" s="60" t="s">
        <v>1700</v>
      </c>
    </row>
    <row r="42" customFormat="false" ht="15" hidden="false" customHeight="false" outlineLevel="0" collapsed="false">
      <c r="A42" s="23" t="s">
        <v>1701</v>
      </c>
      <c r="B42" s="24"/>
      <c r="C42" s="24"/>
      <c r="D42" s="24"/>
      <c r="E42" s="24"/>
      <c r="F42" s="24"/>
      <c r="G42" s="24"/>
      <c r="H42" s="24"/>
    </row>
    <row r="43" customFormat="false" ht="15" hidden="false" customHeight="false" outlineLevel="0" collapsed="false">
      <c r="A43" s="29" t="s">
        <v>1702</v>
      </c>
      <c r="B43" s="60" t="s">
        <v>549</v>
      </c>
      <c r="C43" s="130" t="n">
        <v>8450</v>
      </c>
      <c r="D43" s="60" t="s">
        <v>1703</v>
      </c>
    </row>
    <row r="44" customFormat="false" ht="15" hidden="false" customHeight="false" outlineLevel="0" collapsed="false">
      <c r="A44" s="29" t="s">
        <v>1704</v>
      </c>
      <c r="B44" s="60" t="s">
        <v>549</v>
      </c>
      <c r="C44" s="130" t="n">
        <v>5812.5</v>
      </c>
      <c r="D44" s="60" t="s">
        <v>1705</v>
      </c>
    </row>
    <row r="45" customFormat="false" ht="15" hidden="false" customHeight="false" outlineLevel="0" collapsed="false">
      <c r="A45" s="29" t="s">
        <v>1706</v>
      </c>
      <c r="B45" s="60" t="s">
        <v>549</v>
      </c>
      <c r="C45" s="130" t="n">
        <v>8850</v>
      </c>
      <c r="D45" s="60" t="s">
        <v>1707</v>
      </c>
    </row>
    <row r="46" customFormat="false" ht="15" hidden="false" customHeight="false" outlineLevel="0" collapsed="false">
      <c r="A46" s="29" t="s">
        <v>1708</v>
      </c>
      <c r="B46" s="60" t="s">
        <v>549</v>
      </c>
      <c r="C46" s="130" t="n">
        <v>6375</v>
      </c>
      <c r="D46" s="60" t="s">
        <v>1709</v>
      </c>
    </row>
    <row r="47" customFormat="false" ht="15" hidden="false" customHeight="false" outlineLevel="0" collapsed="false">
      <c r="A47" s="29" t="s">
        <v>1710</v>
      </c>
      <c r="B47" s="60" t="s">
        <v>1651</v>
      </c>
      <c r="C47" s="136" t="n">
        <v>0.093</v>
      </c>
      <c r="D47" s="60" t="s">
        <v>1711</v>
      </c>
    </row>
    <row r="48" customFormat="false" ht="15" hidden="false" customHeight="false" outlineLevel="0" collapsed="false">
      <c r="A48" s="29" t="s">
        <v>1712</v>
      </c>
      <c r="B48" s="60" t="s">
        <v>1651</v>
      </c>
      <c r="C48" s="136" t="n">
        <v>0.013</v>
      </c>
      <c r="D48" s="60" t="s">
        <v>1713</v>
      </c>
    </row>
    <row r="49" customFormat="false" ht="15" hidden="false" customHeight="false" outlineLevel="0" collapsed="false">
      <c r="A49" s="29" t="s">
        <v>1714</v>
      </c>
      <c r="B49" s="60" t="s">
        <v>1651</v>
      </c>
      <c r="C49" s="136" t="n">
        <v>0.073</v>
      </c>
      <c r="D49" s="60" t="s">
        <v>1715</v>
      </c>
    </row>
    <row r="50" customFormat="false" ht="15" hidden="false" customHeight="false" outlineLevel="0" collapsed="false">
      <c r="A50" s="29" t="s">
        <v>1716</v>
      </c>
      <c r="B50" s="60" t="s">
        <v>1651</v>
      </c>
      <c r="C50" s="136" t="n">
        <v>0.029</v>
      </c>
      <c r="D50" s="60" t="s">
        <v>1717</v>
      </c>
    </row>
    <row r="51" customFormat="false" ht="15" hidden="false" customHeight="false" outlineLevel="0" collapsed="false">
      <c r="A51" s="29" t="s">
        <v>1718</v>
      </c>
      <c r="B51" s="60" t="s">
        <v>1651</v>
      </c>
      <c r="C51" s="136" t="n">
        <v>0.018</v>
      </c>
      <c r="D51" s="60" t="s">
        <v>1719</v>
      </c>
    </row>
    <row r="52" customFormat="false" ht="15" hidden="false" customHeight="false" outlineLevel="0" collapsed="false">
      <c r="A52" s="29" t="s">
        <v>1720</v>
      </c>
      <c r="B52" s="60" t="s">
        <v>1651</v>
      </c>
      <c r="C52" s="136" t="n">
        <v>0.006</v>
      </c>
      <c r="D52" s="60" t="s">
        <v>1721</v>
      </c>
    </row>
    <row r="53" customFormat="false" ht="15" hidden="false" customHeight="false" outlineLevel="0" collapsed="false">
      <c r="A53" s="29" t="s">
        <v>1722</v>
      </c>
      <c r="B53" s="60" t="s">
        <v>1663</v>
      </c>
      <c r="C53" s="127" t="n">
        <v>0.4</v>
      </c>
      <c r="D53" s="60" t="s">
        <v>1723</v>
      </c>
    </row>
    <row r="54" customFormat="false" ht="15" hidden="false" customHeight="false" outlineLevel="0" collapsed="false">
      <c r="A54" s="29" t="s">
        <v>1724</v>
      </c>
      <c r="B54" s="60" t="s">
        <v>1651</v>
      </c>
      <c r="C54" s="136" t="n">
        <v>0.0042</v>
      </c>
      <c r="D54" s="60" t="s">
        <v>1725</v>
      </c>
    </row>
    <row r="55" customFormat="false" ht="15" hidden="false" customHeight="false" outlineLevel="0" collapsed="false">
      <c r="A55" s="29" t="s">
        <v>1726</v>
      </c>
      <c r="B55" s="60" t="s">
        <v>1651</v>
      </c>
      <c r="C55" s="136" t="n">
        <v>0.0015</v>
      </c>
      <c r="D55" s="60" t="s">
        <v>1727</v>
      </c>
    </row>
    <row r="56" customFormat="false" ht="15" hidden="false" customHeight="false" outlineLevel="0" collapsed="false">
      <c r="A56" s="29" t="s">
        <v>1728</v>
      </c>
      <c r="B56" s="60" t="s">
        <v>1640</v>
      </c>
      <c r="C56" s="135" t="n">
        <f aca="false">Assumptions!$C$47+Assumptions!$C$48+Assumptions!$C$54+Assumptions!$C$55</f>
        <v>0.1117</v>
      </c>
    </row>
    <row r="57" customFormat="false" ht="15" hidden="false" customHeight="false" outlineLevel="0" collapsed="false">
      <c r="A57" s="29" t="s">
        <v>1729</v>
      </c>
      <c r="B57" s="60" t="s">
        <v>1640</v>
      </c>
      <c r="C57" s="135" t="n">
        <f aca="false">Assumptions!$C$49+Assumptions!$C$50/2+Assumptions!$C$51</f>
        <v>0.1055</v>
      </c>
    </row>
    <row r="58" customFormat="false" ht="15" hidden="false" customHeight="false" outlineLevel="0" collapsed="false">
      <c r="A58" s="29" t="s">
        <v>1730</v>
      </c>
      <c r="B58" s="60" t="s">
        <v>1640</v>
      </c>
      <c r="C58" s="135" t="n">
        <f aca="false">Assumptions!$C$47+Assumptions!$C$48</f>
        <v>0.106</v>
      </c>
    </row>
    <row r="59" customFormat="false" ht="15" hidden="false" customHeight="false" outlineLevel="0" collapsed="false">
      <c r="A59" s="29" t="s">
        <v>1731</v>
      </c>
      <c r="B59" s="60" t="s">
        <v>1640</v>
      </c>
      <c r="C59" s="135" t="n">
        <f aca="false">Assumptions!$C$49+Assumptions!$C$50/2+Assumptions!$C$51+Assumptions!$C$52*Assumptions!$C$53</f>
        <v>0.1079</v>
      </c>
    </row>
    <row r="60" customFormat="false" ht="15" hidden="false" customHeight="false" outlineLevel="0" collapsed="false">
      <c r="A60" s="29" t="s">
        <v>1732</v>
      </c>
      <c r="D60" s="60" t="s">
        <v>1733</v>
      </c>
    </row>
    <row r="62" customFormat="false" ht="15" hidden="false" customHeight="false" outlineLevel="0" collapsed="false">
      <c r="A62" s="23" t="s">
        <v>1734</v>
      </c>
      <c r="B62" s="24"/>
      <c r="C62" s="24"/>
      <c r="D62" s="24"/>
      <c r="E62" s="24"/>
      <c r="F62" s="24"/>
      <c r="G62" s="24"/>
      <c r="H62" s="24"/>
    </row>
    <row r="63" customFormat="false" ht="42" hidden="false" customHeight="true" outlineLevel="0" collapsed="false">
      <c r="A63" s="27" t="s">
        <v>1735</v>
      </c>
      <c r="B63" s="28" t="s">
        <v>731</v>
      </c>
      <c r="C63" s="28" t="s">
        <v>1736</v>
      </c>
      <c r="D63" s="28" t="s">
        <v>1737</v>
      </c>
      <c r="E63" s="28" t="s">
        <v>1738</v>
      </c>
      <c r="F63" s="28" t="s">
        <v>1739</v>
      </c>
      <c r="G63" s="28" t="s">
        <v>1740</v>
      </c>
      <c r="H63" s="28" t="s">
        <v>1741</v>
      </c>
    </row>
    <row r="64" customFormat="false" ht="15" hidden="false" customHeight="false" outlineLevel="0" collapsed="false">
      <c r="A64" s="0" t="s">
        <v>1742</v>
      </c>
      <c r="B64" s="0" t="s">
        <v>1743</v>
      </c>
      <c r="C64" s="105" t="n">
        <v>360</v>
      </c>
      <c r="D64" s="105" t="n">
        <v>205000</v>
      </c>
      <c r="E64" s="127" t="n">
        <v>0.25</v>
      </c>
      <c r="F64" s="127" t="n">
        <v>0.4</v>
      </c>
      <c r="G64" s="105" t="n">
        <v>220</v>
      </c>
    </row>
    <row r="65" customFormat="false" ht="15" hidden="false" customHeight="false" outlineLevel="0" collapsed="false">
      <c r="A65" s="0" t="s">
        <v>1744</v>
      </c>
      <c r="B65" s="0" t="s">
        <v>1745</v>
      </c>
      <c r="C65" s="105" t="n">
        <v>300</v>
      </c>
      <c r="D65" s="105" t="n">
        <v>152000</v>
      </c>
      <c r="E65" s="127" t="n">
        <v>0.15</v>
      </c>
      <c r="F65" s="127" t="n">
        <v>0.6</v>
      </c>
      <c r="G65" s="105" t="n">
        <v>180</v>
      </c>
    </row>
    <row r="66" customFormat="false" ht="15" hidden="false" customHeight="false" outlineLevel="0" collapsed="false">
      <c r="A66" s="0" t="s">
        <v>1746</v>
      </c>
      <c r="B66" s="0" t="s">
        <v>1747</v>
      </c>
      <c r="C66" s="105" t="n">
        <v>240</v>
      </c>
      <c r="D66" s="105" t="n">
        <v>112000</v>
      </c>
      <c r="E66" s="127" t="n">
        <v>0.12</v>
      </c>
      <c r="F66" s="127" t="n">
        <v>0.75</v>
      </c>
      <c r="G66" s="105" t="n">
        <v>150</v>
      </c>
    </row>
    <row r="67" customFormat="false" ht="15" hidden="false" customHeight="false" outlineLevel="0" collapsed="false">
      <c r="A67" s="0" t="s">
        <v>1748</v>
      </c>
      <c r="B67" s="0" t="s">
        <v>1749</v>
      </c>
      <c r="C67" s="105" t="n">
        <v>190</v>
      </c>
      <c r="D67" s="105" t="n">
        <v>83000</v>
      </c>
      <c r="E67" s="127" t="n">
        <v>0.08</v>
      </c>
      <c r="F67" s="127" t="n">
        <v>0.82</v>
      </c>
      <c r="G67" s="105" t="n">
        <v>120</v>
      </c>
    </row>
    <row r="68" customFormat="false" ht="15" hidden="false" customHeight="false" outlineLevel="0" collapsed="false">
      <c r="A68" s="0" t="s">
        <v>1750</v>
      </c>
      <c r="B68" s="0" t="s">
        <v>1751</v>
      </c>
      <c r="C68" s="105" t="n">
        <v>145</v>
      </c>
      <c r="D68" s="105" t="n">
        <v>62500</v>
      </c>
      <c r="E68" s="127" t="n">
        <v>0.06</v>
      </c>
      <c r="F68" s="127" t="n">
        <v>0.82</v>
      </c>
      <c r="G68" s="105" t="n">
        <v>95</v>
      </c>
    </row>
    <row r="69" customFormat="false" ht="15" hidden="false" customHeight="false" outlineLevel="0" collapsed="false">
      <c r="A69" s="60" t="s">
        <v>1752</v>
      </c>
    </row>
    <row r="70" customFormat="false" ht="15" hidden="false" customHeight="false" outlineLevel="0" collapsed="false">
      <c r="A70" s="29" t="s">
        <v>1753</v>
      </c>
      <c r="B70" s="60" t="s">
        <v>1663</v>
      </c>
      <c r="C70" s="127" t="n">
        <v>0.36</v>
      </c>
      <c r="D70" s="60" t="s">
        <v>1754</v>
      </c>
    </row>
    <row r="71" customFormat="false" ht="15" hidden="false" customHeight="false" outlineLevel="0" collapsed="false">
      <c r="A71" s="29" t="s">
        <v>1755</v>
      </c>
      <c r="B71" s="60" t="s">
        <v>1663</v>
      </c>
      <c r="C71" s="127" t="n">
        <v>0.33</v>
      </c>
    </row>
    <row r="72" customFormat="false" ht="15" hidden="false" customHeight="false" outlineLevel="0" collapsed="false">
      <c r="A72" s="29" t="s">
        <v>1756</v>
      </c>
      <c r="B72" s="60" t="s">
        <v>1663</v>
      </c>
      <c r="C72" s="127" t="n">
        <v>0.29</v>
      </c>
    </row>
    <row r="73" customFormat="false" ht="15" hidden="false" customHeight="false" outlineLevel="0" collapsed="false">
      <c r="A73" s="29" t="s">
        <v>1757</v>
      </c>
      <c r="B73" s="60" t="s">
        <v>1663</v>
      </c>
      <c r="C73" s="127" t="n">
        <v>0.25</v>
      </c>
    </row>
    <row r="74" customFormat="false" ht="15" hidden="false" customHeight="false" outlineLevel="0" collapsed="false">
      <c r="A74" s="29" t="s">
        <v>1758</v>
      </c>
      <c r="B74" s="60" t="s">
        <v>1663</v>
      </c>
      <c r="C74" s="127" t="n">
        <v>0.21</v>
      </c>
    </row>
    <row r="75" customFormat="false" ht="15" hidden="false" customHeight="false" outlineLevel="0" collapsed="false">
      <c r="A75" s="29" t="s">
        <v>1759</v>
      </c>
      <c r="B75" s="60" t="s">
        <v>1663</v>
      </c>
      <c r="C75" s="127" t="n">
        <v>0.22</v>
      </c>
    </row>
    <row r="76" customFormat="false" ht="15" hidden="false" customHeight="false" outlineLevel="0" collapsed="false">
      <c r="A76" s="29" t="s">
        <v>1760</v>
      </c>
      <c r="B76" s="60" t="s">
        <v>1663</v>
      </c>
      <c r="C76" s="127" t="n">
        <v>0.38</v>
      </c>
    </row>
    <row r="77" customFormat="false" ht="15" hidden="false" customHeight="false" outlineLevel="0" collapsed="false">
      <c r="A77" s="29" t="s">
        <v>1761</v>
      </c>
      <c r="B77" s="60" t="s">
        <v>1663</v>
      </c>
      <c r="C77" s="127" t="n">
        <v>0.36</v>
      </c>
      <c r="D77" s="60" t="s">
        <v>1762</v>
      </c>
    </row>
    <row r="78" customFormat="false" ht="15" hidden="false" customHeight="false" outlineLevel="0" collapsed="false">
      <c r="A78" s="29" t="s">
        <v>1763</v>
      </c>
      <c r="B78" s="60" t="s">
        <v>1640</v>
      </c>
      <c r="C78" s="135" t="n">
        <f aca="false">0</f>
        <v>0</v>
      </c>
      <c r="D78" s="60" t="s">
        <v>1764</v>
      </c>
    </row>
    <row r="79" customFormat="false" ht="15" hidden="false" customHeight="false" outlineLevel="0" collapsed="false">
      <c r="A79" s="29" t="s">
        <v>1765</v>
      </c>
      <c r="B79" s="60" t="s">
        <v>1640</v>
      </c>
      <c r="C79" s="135" t="n">
        <f aca="false">0</f>
        <v>0</v>
      </c>
      <c r="D79" s="60" t="s">
        <v>1764</v>
      </c>
    </row>
    <row r="80" customFormat="false" ht="15" hidden="false" customHeight="false" outlineLevel="0" collapsed="false">
      <c r="A80" s="29" t="s">
        <v>1766</v>
      </c>
      <c r="B80" s="60" t="s">
        <v>1640</v>
      </c>
      <c r="C80" s="135" t="n">
        <f aca="false">0</f>
        <v>0</v>
      </c>
      <c r="D80" s="60" t="s">
        <v>1764</v>
      </c>
    </row>
    <row r="81" customFormat="false" ht="15" hidden="false" customHeight="false" outlineLevel="0" collapsed="false">
      <c r="A81" s="29" t="s">
        <v>1767</v>
      </c>
      <c r="B81" s="60" t="s">
        <v>1640</v>
      </c>
      <c r="C81" s="135" t="n">
        <f aca="false">Assumptions!$C$56</f>
        <v>0.1117</v>
      </c>
      <c r="D81" s="60" t="s">
        <v>1764</v>
      </c>
    </row>
    <row r="82" customFormat="false" ht="15" hidden="false" customHeight="false" outlineLevel="0" collapsed="false">
      <c r="A82" s="29" t="s">
        <v>1768</v>
      </c>
      <c r="B82" s="60" t="s">
        <v>1640</v>
      </c>
      <c r="C82" s="135" t="n">
        <f aca="false">Assumptions!$C$56+Assumptions!$C$57</f>
        <v>0.2172</v>
      </c>
      <c r="D82" s="60" t="s">
        <v>1764</v>
      </c>
    </row>
    <row r="83" customFormat="false" ht="15" hidden="false" customHeight="false" outlineLevel="0" collapsed="false">
      <c r="A83" s="29" t="s">
        <v>1769</v>
      </c>
      <c r="B83" s="60" t="s">
        <v>1663</v>
      </c>
      <c r="C83" s="127" t="n">
        <v>0.9</v>
      </c>
    </row>
    <row r="84" customFormat="false" ht="15" hidden="false" customHeight="false" outlineLevel="0" collapsed="false">
      <c r="A84" s="29" t="s">
        <v>1770</v>
      </c>
      <c r="B84" s="60" t="s">
        <v>1663</v>
      </c>
      <c r="C84" s="127" t="n">
        <v>0.5</v>
      </c>
      <c r="D84" s="60" t="s">
        <v>1771</v>
      </c>
    </row>
    <row r="85" customFormat="false" ht="15" hidden="false" customHeight="false" outlineLevel="0" collapsed="false">
      <c r="A85" s="29" t="s">
        <v>1772</v>
      </c>
      <c r="B85" s="60" t="s">
        <v>1640</v>
      </c>
      <c r="C85" s="39" t="n">
        <f aca="false">AVERAGE(Assumptions!$E$200:$P$200)</f>
        <v>140</v>
      </c>
    </row>
    <row r="86" customFormat="false" ht="15" hidden="false" customHeight="false" outlineLevel="0" collapsed="false">
      <c r="A86" s="29" t="s">
        <v>1773</v>
      </c>
      <c r="B86" s="60" t="s">
        <v>1640</v>
      </c>
      <c r="C86" s="137" t="n">
        <f aca="false">(Assumptions!$D$64*(1+Assumptions!$E$64)+12*(Assumptions!$C$56*MIN(Assumptions!$D$64/12,Assumptions!$C$43)+Assumptions!$C$57*MIN(Assumptions!$D$64/12,Assumptions!$C$44))+Assumptions!$D$64*Assumptions!$E$64*Assumptions!$C$78)/(Assumptions!$C$85*12*Assumptions!$F$64)</f>
        <v>409.129471726191</v>
      </c>
      <c r="D86" s="60" t="s">
        <v>1774</v>
      </c>
    </row>
    <row r="87" customFormat="false" ht="15" hidden="false" customHeight="false" outlineLevel="0" collapsed="false">
      <c r="A87" s="29" t="s">
        <v>1775</v>
      </c>
      <c r="B87" s="60" t="s">
        <v>1640</v>
      </c>
      <c r="C87" s="137" t="n">
        <f aca="false">(Assumptions!$D$65*(1+Assumptions!$E$65)+12*(Assumptions!$C$56*MIN(Assumptions!$D$65/12,Assumptions!$C$43)+Assumptions!$C$57*MIN(Assumptions!$D$65/12,Assumptions!$C$44))+Assumptions!$D$65*Assumptions!$E$65*Assumptions!$C$79)/(Assumptions!$C$85*12*Assumptions!$F$65)</f>
        <v>191.949409722222</v>
      </c>
      <c r="D87" s="60" t="s">
        <v>1774</v>
      </c>
    </row>
    <row r="88" customFormat="false" ht="15" hidden="false" customHeight="false" outlineLevel="0" collapsed="false">
      <c r="A88" s="29" t="s">
        <v>1776</v>
      </c>
      <c r="B88" s="60" t="s">
        <v>1640</v>
      </c>
      <c r="C88" s="137" t="n">
        <f aca="false">(Assumptions!$D$66*(1+Assumptions!$E$66)+12*(Assumptions!$C$56*MIN(Assumptions!$D$66/12,Assumptions!$C$43)+Assumptions!$C$57*MIN(Assumptions!$D$66/12,Assumptions!$C$44))+Assumptions!$D$66*Assumptions!$E$66*Assumptions!$C$80)/(Assumptions!$C$85*12*Assumptions!$F$66)</f>
        <v>114.384924603175</v>
      </c>
      <c r="D88" s="60" t="s">
        <v>1774</v>
      </c>
    </row>
    <row r="89" customFormat="false" ht="15" hidden="false" customHeight="false" outlineLevel="0" collapsed="false">
      <c r="A89" s="29" t="s">
        <v>1777</v>
      </c>
      <c r="B89" s="60" t="s">
        <v>1640</v>
      </c>
      <c r="C89" s="137" t="n">
        <f aca="false">(Assumptions!$D$67*(1+Assumptions!$E$67)+12*(Assumptions!$C$56*MIN(Assumptions!$D$67/12,Assumptions!$C$43)+Assumptions!$C$57*MIN(Assumptions!$D$67/12,Assumptions!$C$44))+Assumptions!$D$67*Assumptions!$E$67*Assumptions!$C$81)/(Assumptions!$C$85*12*Assumptions!$F$67)</f>
        <v>77.6795971254356</v>
      </c>
      <c r="D89" s="60" t="s">
        <v>1774</v>
      </c>
    </row>
    <row r="90" customFormat="false" ht="15" hidden="false" customHeight="false" outlineLevel="0" collapsed="false">
      <c r="A90" s="29" t="s">
        <v>1778</v>
      </c>
      <c r="B90" s="60" t="s">
        <v>1640</v>
      </c>
      <c r="C90" s="137" t="n">
        <f aca="false">(Assumptions!$D$68*(1+Assumptions!$E$68)+12*(Assumptions!$C$56*MIN(Assumptions!$D$68/12,Assumptions!$C$43)+Assumptions!$C$57*MIN(Assumptions!$D$68/12,Assumptions!$C$44))+Assumptions!$D$68*Assumptions!$E$68*Assumptions!$C$82)/(Assumptions!$C$85*12*Assumptions!$F$68)</f>
        <v>58.5362224157956</v>
      </c>
      <c r="D90" s="60" t="s">
        <v>1774</v>
      </c>
    </row>
    <row r="91" customFormat="false" ht="15" hidden="false" customHeight="false" outlineLevel="0" collapsed="false">
      <c r="A91" s="29" t="s">
        <v>1779</v>
      </c>
      <c r="B91" s="60" t="s">
        <v>1663</v>
      </c>
      <c r="C91" s="127" t="n">
        <v>0.06</v>
      </c>
    </row>
    <row r="92" customFormat="false" ht="15" hidden="false" customHeight="false" outlineLevel="0" collapsed="false">
      <c r="A92" s="29" t="s">
        <v>1780</v>
      </c>
      <c r="B92" s="60" t="s">
        <v>1663</v>
      </c>
      <c r="C92" s="127" t="n">
        <v>0.7</v>
      </c>
      <c r="D92" s="60" t="s">
        <v>1781</v>
      </c>
    </row>
    <row r="93" customFormat="false" ht="15" hidden="false" customHeight="false" outlineLevel="0" collapsed="false">
      <c r="A93" s="29" t="s">
        <v>1782</v>
      </c>
      <c r="B93" s="60" t="s">
        <v>1663</v>
      </c>
      <c r="C93" s="127" t="n">
        <v>0.03</v>
      </c>
    </row>
    <row r="94" customFormat="false" ht="15" hidden="false" customHeight="false" outlineLevel="0" collapsed="false">
      <c r="A94" s="29" t="s">
        <v>1783</v>
      </c>
      <c r="B94" s="60" t="s">
        <v>1663</v>
      </c>
      <c r="C94" s="127" t="n">
        <v>0.22</v>
      </c>
    </row>
    <row r="95" customFormat="false" ht="15" hidden="false" customHeight="false" outlineLevel="0" collapsed="false">
      <c r="A95" s="29" t="s">
        <v>1784</v>
      </c>
      <c r="B95" s="60" t="s">
        <v>549</v>
      </c>
      <c r="C95" s="105" t="n">
        <v>2500</v>
      </c>
    </row>
    <row r="96" customFormat="false" ht="15" hidden="false" customHeight="false" outlineLevel="0" collapsed="false">
      <c r="A96" s="29" t="s">
        <v>1785</v>
      </c>
      <c r="B96" s="60" t="s">
        <v>1651</v>
      </c>
      <c r="C96" s="127" t="n">
        <v>0</v>
      </c>
    </row>
    <row r="97" customFormat="false" ht="15" hidden="false" customHeight="false" outlineLevel="0" collapsed="false">
      <c r="A97" s="29" t="s">
        <v>1786</v>
      </c>
      <c r="B97" s="60" t="s">
        <v>1651</v>
      </c>
      <c r="C97" s="127" t="n">
        <v>0.05</v>
      </c>
    </row>
    <row r="98" customFormat="false" ht="15" hidden="false" customHeight="false" outlineLevel="0" collapsed="false">
      <c r="A98" s="29" t="s">
        <v>1787</v>
      </c>
      <c r="B98" s="60" t="s">
        <v>1651</v>
      </c>
      <c r="C98" s="127" t="n">
        <v>0.1</v>
      </c>
      <c r="D98" s="60" t="s">
        <v>1788</v>
      </c>
    </row>
    <row r="99" customFormat="false" ht="15" hidden="false" customHeight="false" outlineLevel="0" collapsed="false">
      <c r="A99" s="29" t="s">
        <v>1789</v>
      </c>
      <c r="B99" s="60" t="s">
        <v>1651</v>
      </c>
      <c r="C99" s="127" t="n">
        <v>0.15</v>
      </c>
    </row>
    <row r="100" customFormat="false" ht="15" hidden="false" customHeight="false" outlineLevel="0" collapsed="false">
      <c r="A100" s="29" t="s">
        <v>1790</v>
      </c>
      <c r="B100" s="60" t="s">
        <v>1651</v>
      </c>
      <c r="C100" s="127" t="n">
        <v>0.15</v>
      </c>
    </row>
    <row r="101" customFormat="false" ht="15" hidden="false" customHeight="false" outlineLevel="0" collapsed="false">
      <c r="A101" s="29" t="s">
        <v>1791</v>
      </c>
      <c r="B101" s="60" t="s">
        <v>1792</v>
      </c>
      <c r="C101" s="129" t="n">
        <v>3</v>
      </c>
      <c r="D101" s="60" t="s">
        <v>1793</v>
      </c>
    </row>
    <row r="102" customFormat="false" ht="15" hidden="false" customHeight="false" outlineLevel="0" collapsed="false">
      <c r="A102" s="29" t="s">
        <v>1794</v>
      </c>
      <c r="B102" s="60" t="s">
        <v>1795</v>
      </c>
      <c r="C102" s="138" t="n">
        <v>0.5</v>
      </c>
      <c r="D102" s="60" t="s">
        <v>1796</v>
      </c>
    </row>
    <row r="103" customFormat="false" ht="15" hidden="false" customHeight="false" outlineLevel="0" collapsed="false">
      <c r="A103" s="29" t="s">
        <v>1797</v>
      </c>
      <c r="B103" s="60" t="s">
        <v>549</v>
      </c>
      <c r="C103" s="105" t="n">
        <v>2400</v>
      </c>
    </row>
    <row r="104" customFormat="false" ht="15" hidden="false" customHeight="false" outlineLevel="0" collapsed="false">
      <c r="A104" s="29" t="s">
        <v>1798</v>
      </c>
      <c r="B104" s="60" t="s">
        <v>549</v>
      </c>
      <c r="C104" s="105" t="n">
        <v>2600</v>
      </c>
    </row>
    <row r="105" customFormat="false" ht="15" hidden="false" customHeight="false" outlineLevel="0" collapsed="false">
      <c r="A105" s="29" t="s">
        <v>1799</v>
      </c>
      <c r="B105" s="60" t="s">
        <v>1792</v>
      </c>
      <c r="C105" s="120" t="n">
        <v>3</v>
      </c>
    </row>
    <row r="106" customFormat="false" ht="15" hidden="false" customHeight="false" outlineLevel="0" collapsed="false">
      <c r="A106" s="29" t="s">
        <v>1800</v>
      </c>
      <c r="B106" s="60" t="s">
        <v>1792</v>
      </c>
      <c r="C106" s="120" t="n">
        <v>10</v>
      </c>
      <c r="D106" s="60" t="s">
        <v>1801</v>
      </c>
    </row>
    <row r="107" customFormat="false" ht="15" hidden="false" customHeight="false" outlineLevel="0" collapsed="false">
      <c r="A107" s="29" t="s">
        <v>1802</v>
      </c>
      <c r="B107" s="60" t="s">
        <v>1651</v>
      </c>
      <c r="C107" s="127" t="n">
        <v>0.03</v>
      </c>
    </row>
    <row r="109" customFormat="false" ht="15" hidden="false" customHeight="false" outlineLevel="0" collapsed="false">
      <c r="A109" s="23" t="s">
        <v>1803</v>
      </c>
      <c r="B109" s="24"/>
      <c r="C109" s="24"/>
      <c r="D109" s="24"/>
      <c r="E109" s="24"/>
      <c r="F109" s="24"/>
      <c r="G109" s="24"/>
      <c r="H109" s="24"/>
    </row>
    <row r="110" customFormat="false" ht="36" hidden="false" customHeight="true" outlineLevel="0" collapsed="false">
      <c r="A110" s="27" t="s">
        <v>1804</v>
      </c>
      <c r="B110" s="28" t="s">
        <v>731</v>
      </c>
      <c r="C110" s="28" t="s">
        <v>1742</v>
      </c>
      <c r="D110" s="28" t="s">
        <v>1744</v>
      </c>
      <c r="E110" s="28" t="s">
        <v>1746</v>
      </c>
      <c r="F110" s="28" t="s">
        <v>1748</v>
      </c>
      <c r="G110" s="28" t="s">
        <v>1750</v>
      </c>
      <c r="H110" s="28" t="s">
        <v>148</v>
      </c>
    </row>
    <row r="111" customFormat="false" ht="15" hidden="false" customHeight="false" outlineLevel="0" collapsed="false">
      <c r="A111" s="0" t="s">
        <v>1805</v>
      </c>
      <c r="B111" s="0" t="s">
        <v>1566</v>
      </c>
      <c r="C111" s="127" t="n">
        <v>0.08</v>
      </c>
      <c r="D111" s="127" t="n">
        <v>0.08</v>
      </c>
      <c r="E111" s="127" t="n">
        <v>0.19</v>
      </c>
      <c r="F111" s="127" t="n">
        <v>0.31</v>
      </c>
      <c r="G111" s="127" t="n">
        <v>0.34</v>
      </c>
      <c r="H111" s="139" t="n">
        <f aca="false">ROUND(SUM(C111:G111)-1,6)</f>
        <v>0</v>
      </c>
    </row>
    <row r="112" customFormat="false" ht="15" hidden="false" customHeight="false" outlineLevel="0" collapsed="false">
      <c r="A112" s="0" t="s">
        <v>1806</v>
      </c>
      <c r="B112" s="0" t="s">
        <v>1562</v>
      </c>
      <c r="C112" s="127" t="n">
        <v>0.045</v>
      </c>
      <c r="D112" s="127" t="n">
        <v>0.065</v>
      </c>
      <c r="E112" s="127" t="n">
        <v>0.18</v>
      </c>
      <c r="F112" s="127" t="n">
        <v>0.33</v>
      </c>
      <c r="G112" s="127" t="n">
        <v>0.38</v>
      </c>
      <c r="H112" s="139" t="n">
        <f aca="false">ROUND(SUM(C112:G112)-1,6)</f>
        <v>0</v>
      </c>
    </row>
    <row r="113" customFormat="false" ht="15" hidden="false" customHeight="false" outlineLevel="0" collapsed="false">
      <c r="A113" s="0" t="s">
        <v>1807</v>
      </c>
      <c r="B113" s="0" t="s">
        <v>1560</v>
      </c>
      <c r="C113" s="127" t="n">
        <v>0.03</v>
      </c>
      <c r="D113" s="127" t="n">
        <v>0.06</v>
      </c>
      <c r="E113" s="127" t="n">
        <v>0.27</v>
      </c>
      <c r="F113" s="127" t="n">
        <v>0.4</v>
      </c>
      <c r="G113" s="127" t="n">
        <v>0.24</v>
      </c>
      <c r="H113" s="139" t="n">
        <f aca="false">ROUND(SUM(C113:G113)-1,6)</f>
        <v>0</v>
      </c>
    </row>
    <row r="114" customFormat="false" ht="15" hidden="false" customHeight="false" outlineLevel="0" collapsed="false">
      <c r="A114" s="60" t="s">
        <v>1808</v>
      </c>
    </row>
    <row r="116" customFormat="false" ht="15" hidden="false" customHeight="false" outlineLevel="0" collapsed="false">
      <c r="A116" s="23" t="s">
        <v>1809</v>
      </c>
      <c r="B116" s="24"/>
      <c r="C116" s="24"/>
      <c r="D116" s="24"/>
      <c r="E116" s="24"/>
      <c r="F116" s="24"/>
      <c r="G116" s="24"/>
      <c r="H116" s="24"/>
    </row>
    <row r="117" customFormat="false" ht="15" hidden="false" customHeight="false" outlineLevel="0" collapsed="false">
      <c r="A117" s="0" t="s">
        <v>1810</v>
      </c>
      <c r="C117" s="124" t="n">
        <v>46023</v>
      </c>
    </row>
    <row r="118" customFormat="false" ht="15" hidden="false" customHeight="false" outlineLevel="0" collapsed="false">
      <c r="A118" s="0" t="s">
        <v>1811</v>
      </c>
      <c r="C118" s="124" t="n">
        <v>46028</v>
      </c>
    </row>
    <row r="119" customFormat="false" ht="15" hidden="false" customHeight="false" outlineLevel="0" collapsed="false">
      <c r="A119" s="0" t="s">
        <v>1812</v>
      </c>
      <c r="C119" s="124" t="n">
        <v>46115</v>
      </c>
    </row>
    <row r="120" customFormat="false" ht="15" hidden="false" customHeight="false" outlineLevel="0" collapsed="false">
      <c r="A120" s="0" t="s">
        <v>1813</v>
      </c>
      <c r="C120" s="124" t="n">
        <v>46118</v>
      </c>
    </row>
    <row r="121" customFormat="false" ht="15" hidden="false" customHeight="false" outlineLevel="0" collapsed="false">
      <c r="A121" s="0" t="s">
        <v>1814</v>
      </c>
      <c r="C121" s="124" t="n">
        <v>46143</v>
      </c>
    </row>
    <row r="122" customFormat="false" ht="15" hidden="false" customHeight="false" outlineLevel="0" collapsed="false">
      <c r="A122" s="0" t="s">
        <v>1815</v>
      </c>
      <c r="C122" s="124" t="n">
        <v>46156</v>
      </c>
    </row>
    <row r="123" customFormat="false" ht="15" hidden="false" customHeight="false" outlineLevel="0" collapsed="false">
      <c r="A123" s="0" t="s">
        <v>1816</v>
      </c>
      <c r="C123" s="124" t="n">
        <v>46167</v>
      </c>
    </row>
    <row r="124" customFormat="false" ht="15" hidden="false" customHeight="false" outlineLevel="0" collapsed="false">
      <c r="A124" s="0" t="s">
        <v>1817</v>
      </c>
      <c r="C124" s="124" t="n">
        <v>46177</v>
      </c>
    </row>
    <row r="125" customFormat="false" ht="15" hidden="false" customHeight="false" outlineLevel="0" collapsed="false">
      <c r="A125" s="0" t="s">
        <v>1818</v>
      </c>
      <c r="C125" s="124" t="n">
        <v>46249</v>
      </c>
    </row>
    <row r="126" customFormat="false" ht="15" hidden="false" customHeight="false" outlineLevel="0" collapsed="false">
      <c r="A126" s="0" t="s">
        <v>1819</v>
      </c>
      <c r="C126" s="124" t="n">
        <v>46298</v>
      </c>
    </row>
    <row r="127" customFormat="false" ht="15" hidden="false" customHeight="false" outlineLevel="0" collapsed="false">
      <c r="A127" s="0" t="s">
        <v>1820</v>
      </c>
      <c r="C127" s="124" t="n">
        <v>46327</v>
      </c>
    </row>
    <row r="128" customFormat="false" ht="15" hidden="false" customHeight="false" outlineLevel="0" collapsed="false">
      <c r="A128" s="0" t="s">
        <v>1821</v>
      </c>
      <c r="C128" s="124" t="n">
        <v>46381</v>
      </c>
    </row>
    <row r="129" customFormat="false" ht="15" hidden="false" customHeight="false" outlineLevel="0" collapsed="false">
      <c r="A129" s="0" t="s">
        <v>1822</v>
      </c>
      <c r="C129" s="124" t="n">
        <v>46382</v>
      </c>
    </row>
    <row r="130" customFormat="false" ht="15" hidden="false" customHeight="false" outlineLevel="0" collapsed="false">
      <c r="A130" s="0" t="s">
        <v>1823</v>
      </c>
      <c r="C130" s="124" t="n">
        <v>46388</v>
      </c>
    </row>
    <row r="131" customFormat="false" ht="15" hidden="false" customHeight="false" outlineLevel="0" collapsed="false">
      <c r="A131" s="0" t="s">
        <v>1824</v>
      </c>
      <c r="C131" s="124" t="n">
        <v>46393</v>
      </c>
    </row>
    <row r="132" customFormat="false" ht="15" hidden="false" customHeight="false" outlineLevel="0" collapsed="false">
      <c r="A132" s="0" t="s">
        <v>1825</v>
      </c>
      <c r="C132" s="124" t="n">
        <v>46472</v>
      </c>
    </row>
    <row r="133" customFormat="false" ht="15" hidden="false" customHeight="false" outlineLevel="0" collapsed="false">
      <c r="A133" s="0" t="s">
        <v>1826</v>
      </c>
      <c r="C133" s="124" t="n">
        <v>46475</v>
      </c>
    </row>
    <row r="134" customFormat="false" ht="15" hidden="false" customHeight="false" outlineLevel="0" collapsed="false">
      <c r="A134" s="0" t="s">
        <v>1827</v>
      </c>
      <c r="C134" s="124" t="n">
        <v>46508</v>
      </c>
    </row>
    <row r="135" customFormat="false" ht="15" hidden="false" customHeight="false" outlineLevel="0" collapsed="false">
      <c r="A135" s="0" t="s">
        <v>1828</v>
      </c>
      <c r="C135" s="124" t="n">
        <v>46513</v>
      </c>
    </row>
    <row r="136" customFormat="false" ht="15" hidden="false" customHeight="false" outlineLevel="0" collapsed="false">
      <c r="A136" s="0" t="s">
        <v>1829</v>
      </c>
      <c r="C136" s="124" t="n">
        <v>46524</v>
      </c>
    </row>
    <row r="137" customFormat="false" ht="15" hidden="false" customHeight="false" outlineLevel="0" collapsed="false">
      <c r="A137" s="0" t="s">
        <v>1830</v>
      </c>
      <c r="C137" s="124" t="n">
        <v>46534</v>
      </c>
    </row>
    <row r="138" customFormat="false" ht="15" hidden="false" customHeight="false" outlineLevel="0" collapsed="false">
      <c r="A138" s="0" t="s">
        <v>1831</v>
      </c>
      <c r="C138" s="124" t="n">
        <v>46614</v>
      </c>
    </row>
    <row r="139" customFormat="false" ht="15" hidden="false" customHeight="false" outlineLevel="0" collapsed="false">
      <c r="A139" s="0" t="s">
        <v>1832</v>
      </c>
      <c r="C139" s="124" t="n">
        <v>46663</v>
      </c>
    </row>
    <row r="140" customFormat="false" ht="15" hidden="false" customHeight="false" outlineLevel="0" collapsed="false">
      <c r="A140" s="0" t="s">
        <v>1833</v>
      </c>
      <c r="C140" s="124" t="n">
        <v>46692</v>
      </c>
    </row>
    <row r="141" customFormat="false" ht="15" hidden="false" customHeight="false" outlineLevel="0" collapsed="false">
      <c r="A141" s="0" t="s">
        <v>1834</v>
      </c>
      <c r="C141" s="124" t="n">
        <v>46746</v>
      </c>
    </row>
    <row r="142" customFormat="false" ht="15" hidden="false" customHeight="false" outlineLevel="0" collapsed="false">
      <c r="A142" s="0" t="s">
        <v>1835</v>
      </c>
      <c r="C142" s="124" t="n">
        <v>46747</v>
      </c>
    </row>
    <row r="143" customFormat="false" ht="15" hidden="false" customHeight="false" outlineLevel="0" collapsed="false">
      <c r="A143" s="60" t="s">
        <v>1836</v>
      </c>
    </row>
    <row r="145" customFormat="false" ht="15" hidden="false" customHeight="false" outlineLevel="0" collapsed="false">
      <c r="A145" s="23" t="s">
        <v>1837</v>
      </c>
      <c r="B145" s="24"/>
      <c r="C145" s="24"/>
      <c r="D145" s="24"/>
      <c r="E145" s="24"/>
      <c r="F145" s="24"/>
      <c r="G145" s="24"/>
      <c r="H145" s="24"/>
    </row>
    <row r="146" customFormat="false" ht="15" hidden="false" customHeight="false" outlineLevel="0" collapsed="false">
      <c r="A146" s="29" t="s">
        <v>1838</v>
      </c>
      <c r="B146" s="60" t="s">
        <v>1663</v>
      </c>
      <c r="C146" s="127" t="n">
        <v>0.3</v>
      </c>
      <c r="D146" s="60" t="s">
        <v>1839</v>
      </c>
    </row>
    <row r="147" customFormat="false" ht="15" hidden="false" customHeight="false" outlineLevel="0" collapsed="false">
      <c r="A147" s="29" t="s">
        <v>1840</v>
      </c>
      <c r="B147" s="60" t="s">
        <v>1663</v>
      </c>
      <c r="C147" s="127" t="n">
        <v>0.4</v>
      </c>
    </row>
    <row r="148" customFormat="false" ht="15" hidden="false" customHeight="false" outlineLevel="0" collapsed="false">
      <c r="A148" s="29" t="s">
        <v>1841</v>
      </c>
      <c r="B148" s="60" t="s">
        <v>1663</v>
      </c>
      <c r="C148" s="127" t="n">
        <v>0.3</v>
      </c>
    </row>
    <row r="149" customFormat="false" ht="15" hidden="false" customHeight="false" outlineLevel="0" collapsed="false">
      <c r="A149" s="29" t="s">
        <v>1842</v>
      </c>
      <c r="B149" s="60" t="s">
        <v>1843</v>
      </c>
      <c r="C149" s="120" t="n">
        <v>30</v>
      </c>
    </row>
    <row r="150" customFormat="false" ht="15" hidden="false" customHeight="false" outlineLevel="0" collapsed="false">
      <c r="A150" s="29" t="s">
        <v>1844</v>
      </c>
      <c r="B150" s="60" t="s">
        <v>1843</v>
      </c>
      <c r="C150" s="120" t="n">
        <v>15</v>
      </c>
    </row>
    <row r="151" customFormat="false" ht="15" hidden="false" customHeight="false" outlineLevel="0" collapsed="false">
      <c r="A151" s="29" t="s">
        <v>1845</v>
      </c>
      <c r="B151" s="60" t="s">
        <v>1843</v>
      </c>
      <c r="C151" s="120" t="n">
        <v>15</v>
      </c>
    </row>
    <row r="152" customFormat="false" ht="15" hidden="false" customHeight="false" outlineLevel="0" collapsed="false">
      <c r="A152" s="29" t="s">
        <v>1846</v>
      </c>
      <c r="B152" s="60" t="s">
        <v>564</v>
      </c>
      <c r="C152" s="117" t="n">
        <v>46356</v>
      </c>
      <c r="D152" s="60" t="s">
        <v>1847</v>
      </c>
    </row>
    <row r="153" customFormat="false" ht="15" hidden="false" customHeight="false" outlineLevel="0" collapsed="false">
      <c r="A153" s="29" t="s">
        <v>1848</v>
      </c>
      <c r="B153" s="60" t="s">
        <v>1663</v>
      </c>
      <c r="C153" s="127" t="n">
        <v>0.08</v>
      </c>
      <c r="D153" s="60" t="s">
        <v>1849</v>
      </c>
    </row>
    <row r="154" customFormat="false" ht="15" hidden="false" customHeight="false" outlineLevel="0" collapsed="false">
      <c r="A154" s="29" t="s">
        <v>1850</v>
      </c>
      <c r="B154" s="60" t="s">
        <v>1663</v>
      </c>
      <c r="C154" s="127" t="n">
        <v>0.04</v>
      </c>
    </row>
    <row r="155" customFormat="false" ht="15" hidden="false" customHeight="false" outlineLevel="0" collapsed="false">
      <c r="A155" s="29" t="s">
        <v>1851</v>
      </c>
      <c r="B155" s="60" t="s">
        <v>1852</v>
      </c>
      <c r="C155" s="130" t="n">
        <v>11</v>
      </c>
    </row>
    <row r="156" customFormat="false" ht="15" hidden="false" customHeight="false" outlineLevel="0" collapsed="false">
      <c r="A156" s="29" t="s">
        <v>1853</v>
      </c>
      <c r="B156" s="60" t="s">
        <v>1651</v>
      </c>
      <c r="C156" s="136" t="n">
        <v>0.005</v>
      </c>
      <c r="D156" s="60" t="s">
        <v>1854</v>
      </c>
    </row>
    <row r="157" customFormat="false" ht="15" hidden="false" customHeight="false" outlineLevel="0" collapsed="false">
      <c r="A157" s="29" t="s">
        <v>1855</v>
      </c>
      <c r="B157" s="60" t="s">
        <v>1663</v>
      </c>
      <c r="C157" s="127" t="n">
        <v>0.05</v>
      </c>
      <c r="D157" s="60" t="s">
        <v>1856</v>
      </c>
    </row>
    <row r="158" customFormat="false" ht="15" hidden="false" customHeight="false" outlineLevel="0" collapsed="false">
      <c r="A158" s="29" t="s">
        <v>1857</v>
      </c>
      <c r="B158" s="60" t="s">
        <v>564</v>
      </c>
      <c r="C158" s="117" t="n">
        <v>46234</v>
      </c>
    </row>
    <row r="159" customFormat="false" ht="15" hidden="false" customHeight="false" outlineLevel="0" collapsed="false">
      <c r="A159" s="29" t="s">
        <v>1858</v>
      </c>
      <c r="B159" s="60" t="s">
        <v>1651</v>
      </c>
      <c r="C159" s="136" t="n">
        <v>0.042</v>
      </c>
    </row>
    <row r="160" customFormat="false" ht="15" hidden="false" customHeight="false" outlineLevel="0" collapsed="false">
      <c r="A160" s="29" t="s">
        <v>1859</v>
      </c>
      <c r="B160" s="60" t="s">
        <v>549</v>
      </c>
      <c r="C160" s="105" t="n">
        <v>4167</v>
      </c>
      <c r="D160" s="60" t="s">
        <v>1860</v>
      </c>
    </row>
    <row r="161" customFormat="false" ht="15" hidden="false" customHeight="false" outlineLevel="0" collapsed="false">
      <c r="A161" s="29" t="s">
        <v>1861</v>
      </c>
      <c r="B161" s="60" t="s">
        <v>1651</v>
      </c>
      <c r="C161" s="136" t="n">
        <v>0.065</v>
      </c>
      <c r="D161" s="60" t="s">
        <v>1862</v>
      </c>
    </row>
    <row r="162" customFormat="false" ht="15" hidden="false" customHeight="false" outlineLevel="0" collapsed="false">
      <c r="A162" s="29" t="s">
        <v>1863</v>
      </c>
      <c r="B162" s="60" t="s">
        <v>564</v>
      </c>
      <c r="C162" s="117" t="n">
        <v>46568</v>
      </c>
      <c r="D162" s="60" t="s">
        <v>1864</v>
      </c>
    </row>
    <row r="164" customFormat="false" ht="15" hidden="false" customHeight="false" outlineLevel="0" collapsed="false">
      <c r="A164" s="23" t="s">
        <v>1865</v>
      </c>
      <c r="B164" s="24"/>
      <c r="C164" s="24"/>
      <c r="D164" s="24"/>
      <c r="E164" s="24"/>
      <c r="F164" s="24"/>
      <c r="G164" s="24"/>
      <c r="H164" s="24"/>
    </row>
    <row r="165" customFormat="false" ht="15" hidden="false" customHeight="false" outlineLevel="0" collapsed="false">
      <c r="A165" s="27" t="s">
        <v>1866</v>
      </c>
      <c r="B165" s="28" t="s">
        <v>542</v>
      </c>
      <c r="C165" s="28" t="s">
        <v>543</v>
      </c>
      <c r="D165" s="28" t="s">
        <v>544</v>
      </c>
      <c r="E165" s="28" t="s">
        <v>545</v>
      </c>
      <c r="F165" s="28" t="s">
        <v>1867</v>
      </c>
      <c r="G165" s="28" t="s">
        <v>484</v>
      </c>
      <c r="H165" s="28" t="s">
        <v>1741</v>
      </c>
    </row>
    <row r="166" customFormat="false" ht="15" hidden="false" customHeight="false" outlineLevel="0" collapsed="false">
      <c r="A166" s="29" t="s">
        <v>1868</v>
      </c>
      <c r="B166" s="60" t="s">
        <v>1869</v>
      </c>
      <c r="C166" s="138" t="n">
        <v>1</v>
      </c>
      <c r="D166" s="138" t="n">
        <v>1</v>
      </c>
      <c r="E166" s="138" t="n">
        <v>1</v>
      </c>
      <c r="F166" s="140" t="n">
        <f aca="false">CHOOSE(Assumptions!$C$11,C166,D166,E166)</f>
        <v>1</v>
      </c>
      <c r="H166" s="60" t="s">
        <v>1870</v>
      </c>
    </row>
    <row r="167" customFormat="false" ht="15" hidden="false" customHeight="false" outlineLevel="0" collapsed="false">
      <c r="A167" s="29" t="s">
        <v>1871</v>
      </c>
      <c r="B167" s="60" t="s">
        <v>1795</v>
      </c>
      <c r="C167" s="120" t="n">
        <v>0</v>
      </c>
      <c r="D167" s="120" t="n">
        <v>1</v>
      </c>
      <c r="E167" s="120" t="n">
        <v>0</v>
      </c>
      <c r="F167" s="141" t="n">
        <f aca="false">CHOOSE(Assumptions!$C$11,C167,D167,E167)</f>
        <v>0</v>
      </c>
    </row>
    <row r="168" customFormat="false" ht="15" hidden="false" customHeight="false" outlineLevel="0" collapsed="false">
      <c r="A168" s="29" t="s">
        <v>1872</v>
      </c>
      <c r="B168" s="60" t="s">
        <v>1663</v>
      </c>
      <c r="C168" s="127" t="n">
        <v>0.8</v>
      </c>
      <c r="D168" s="127" t="n">
        <v>0.6</v>
      </c>
      <c r="E168" s="127" t="n">
        <v>1</v>
      </c>
      <c r="F168" s="63" t="n">
        <f aca="false">CHOOSE(Assumptions!$C$11,C168,D168,E168)</f>
        <v>0.8</v>
      </c>
      <c r="H168" s="60" t="s">
        <v>1873</v>
      </c>
    </row>
    <row r="169" customFormat="false" ht="15" hidden="false" customHeight="false" outlineLevel="0" collapsed="false">
      <c r="A169" s="29" t="s">
        <v>1874</v>
      </c>
      <c r="B169" s="60"/>
      <c r="C169" s="127" t="n">
        <v>0.05</v>
      </c>
      <c r="D169" s="127" t="n">
        <v>0.12</v>
      </c>
      <c r="E169" s="127" t="n">
        <v>0</v>
      </c>
      <c r="F169" s="63" t="n">
        <f aca="false">CHOOSE(Assumptions!$C$11,C169,D169,E169)</f>
        <v>0.05</v>
      </c>
      <c r="H169" s="60" t="s">
        <v>1875</v>
      </c>
    </row>
    <row r="170" customFormat="false" ht="15" hidden="false" customHeight="false" outlineLevel="0" collapsed="false">
      <c r="A170" s="29" t="s">
        <v>1876</v>
      </c>
      <c r="B170" s="60"/>
      <c r="C170" s="127" t="n">
        <v>0.01</v>
      </c>
      <c r="D170" s="127" t="n">
        <v>0.025</v>
      </c>
      <c r="E170" s="127" t="n">
        <v>0</v>
      </c>
      <c r="F170" s="63" t="n">
        <f aca="false">CHOOSE(Assumptions!$C$11,C170,D170,E170)</f>
        <v>0.01</v>
      </c>
      <c r="G170" s="65" t="n">
        <f aca="false">1-SUMIFS(Engagements!$E$576:$AB$576,Assumptions!$E$188:$AB$188,"A")/SUMIFS(Engagements!$E$575:$AB$575,Assumptions!$E$188:$AB$188,"A")</f>
        <v>0.0315787436934583</v>
      </c>
    </row>
    <row r="171" customFormat="false" ht="15" hidden="false" customHeight="false" outlineLevel="0" collapsed="false">
      <c r="A171" s="29" t="s">
        <v>1877</v>
      </c>
      <c r="B171" s="60"/>
      <c r="C171" s="127" t="n">
        <v>0.04</v>
      </c>
      <c r="D171" s="127" t="n">
        <v>0</v>
      </c>
      <c r="E171" s="127" t="n">
        <v>0.05</v>
      </c>
      <c r="F171" s="63" t="n">
        <f aca="false">CHOOSE(Assumptions!$C$11,C171,D171,E171)</f>
        <v>0.04</v>
      </c>
    </row>
    <row r="172" customFormat="false" ht="15" hidden="false" customHeight="false" outlineLevel="0" collapsed="false">
      <c r="A172" s="29" t="s">
        <v>1878</v>
      </c>
      <c r="B172" s="60"/>
      <c r="C172" s="127" t="n">
        <v>0.04</v>
      </c>
      <c r="D172" s="127" t="n">
        <v>0.02</v>
      </c>
      <c r="E172" s="127" t="n">
        <v>0.045</v>
      </c>
      <c r="F172" s="63" t="n">
        <f aca="false">CHOOSE(Assumptions!$C$11,C172,D172,E172)</f>
        <v>0.04</v>
      </c>
      <c r="H172" s="60" t="s">
        <v>1879</v>
      </c>
    </row>
    <row r="173" customFormat="false" ht="15" hidden="false" customHeight="false" outlineLevel="0" collapsed="false">
      <c r="A173" s="29" t="s">
        <v>1880</v>
      </c>
      <c r="B173" s="60" t="s">
        <v>1869</v>
      </c>
      <c r="C173" s="138" t="n">
        <v>1</v>
      </c>
      <c r="D173" s="138" t="n">
        <v>0.6</v>
      </c>
      <c r="E173" s="138" t="n">
        <v>1</v>
      </c>
      <c r="F173" s="140" t="n">
        <f aca="false">CHOOSE(Assumptions!$C$11,C173,D173,E173)</f>
        <v>1</v>
      </c>
      <c r="H173" s="60" t="s">
        <v>1881</v>
      </c>
    </row>
    <row r="174" customFormat="false" ht="15" hidden="false" customHeight="false" outlineLevel="0" collapsed="false">
      <c r="A174" s="29" t="s">
        <v>1882</v>
      </c>
      <c r="B174" s="60" t="s">
        <v>1656</v>
      </c>
      <c r="C174" s="120" t="n">
        <v>1</v>
      </c>
      <c r="D174" s="120" t="n">
        <v>0</v>
      </c>
      <c r="E174" s="120" t="n">
        <v>1</v>
      </c>
      <c r="F174" s="141" t="n">
        <f aca="false">CHOOSE(Assumptions!$C$11,C174,D174,E174)</f>
        <v>1</v>
      </c>
    </row>
    <row r="175" customFormat="false" ht="15" hidden="false" customHeight="false" outlineLevel="0" collapsed="false">
      <c r="A175" s="29" t="s">
        <v>1883</v>
      </c>
      <c r="B175" s="60" t="s">
        <v>1656</v>
      </c>
      <c r="C175" s="120" t="n">
        <v>1</v>
      </c>
      <c r="D175" s="120" t="n">
        <v>0</v>
      </c>
      <c r="E175" s="120" t="n">
        <v>1</v>
      </c>
      <c r="F175" s="141" t="n">
        <f aca="false">CHOOSE(Assumptions!$C$11,C175,D175,E175)</f>
        <v>1</v>
      </c>
    </row>
    <row r="176" customFormat="false" ht="15" hidden="false" customHeight="false" outlineLevel="0" collapsed="false">
      <c r="A176" s="29" t="s">
        <v>1884</v>
      </c>
      <c r="B176" s="60" t="s">
        <v>1656</v>
      </c>
      <c r="C176" s="120" t="n">
        <v>1</v>
      </c>
      <c r="D176" s="120" t="n">
        <v>0</v>
      </c>
      <c r="E176" s="120" t="n">
        <v>1</v>
      </c>
      <c r="F176" s="141" t="n">
        <f aca="false">CHOOSE(Assumptions!$C$11,C176,D176,E176)</f>
        <v>1</v>
      </c>
    </row>
    <row r="177" customFormat="false" ht="15" hidden="false" customHeight="false" outlineLevel="0" collapsed="false">
      <c r="A177" s="29" t="s">
        <v>1885</v>
      </c>
      <c r="B177" s="60" t="s">
        <v>1886</v>
      </c>
      <c r="C177" s="129" t="n">
        <v>0</v>
      </c>
      <c r="D177" s="129" t="n">
        <v>5</v>
      </c>
      <c r="E177" s="129" t="n">
        <v>0</v>
      </c>
      <c r="F177" s="66" t="n">
        <f aca="false">CHOOSE(Assumptions!$C$11,C177,D177,E177)</f>
        <v>0</v>
      </c>
      <c r="H177" s="60" t="s">
        <v>1887</v>
      </c>
    </row>
    <row r="178" customFormat="false" ht="15" hidden="false" customHeight="false" outlineLevel="0" collapsed="false">
      <c r="A178" s="29" t="s">
        <v>1888</v>
      </c>
      <c r="B178" s="60" t="s">
        <v>564</v>
      </c>
      <c r="C178" s="117" t="n">
        <v>46507</v>
      </c>
      <c r="D178" s="117" t="n">
        <v>46507</v>
      </c>
      <c r="E178" s="117" t="n">
        <v>46507</v>
      </c>
      <c r="F178" s="142" t="n">
        <f aca="false">CHOOSE(Assumptions!$C$11,C178,D178,E178)</f>
        <v>46507</v>
      </c>
    </row>
    <row r="179" customFormat="false" ht="15" hidden="false" customHeight="false" outlineLevel="0" collapsed="false">
      <c r="A179" s="29" t="s">
        <v>1889</v>
      </c>
      <c r="B179" s="60"/>
      <c r="C179" s="127" t="n">
        <v>0.85</v>
      </c>
      <c r="D179" s="127" t="n">
        <v>0.3</v>
      </c>
      <c r="E179" s="127" t="n">
        <v>1</v>
      </c>
      <c r="F179" s="63" t="n">
        <f aca="false">CHOOSE(Assumptions!$C$11,C179,D179,E179)</f>
        <v>0.85</v>
      </c>
      <c r="G179" s="65" t="n">
        <f aca="false">Assumptions!$C$92</f>
        <v>0.7</v>
      </c>
    </row>
    <row r="180" customFormat="false" ht="15" hidden="false" customHeight="false" outlineLevel="0" collapsed="false">
      <c r="A180" s="29" t="s">
        <v>1890</v>
      </c>
      <c r="B180" s="60" t="s">
        <v>1843</v>
      </c>
      <c r="C180" s="120" t="n">
        <v>0</v>
      </c>
      <c r="D180" s="120" t="n">
        <v>15</v>
      </c>
      <c r="E180" s="120" t="n">
        <v>0</v>
      </c>
      <c r="F180" s="141" t="n">
        <f aca="false">CHOOSE(Assumptions!$C$11,C180,D180,E180)</f>
        <v>0</v>
      </c>
      <c r="G180" s="67" t="n">
        <f aca="false">INDEX(Receivables!$E$25:$AB$25,Assumptions!$C$10)</f>
        <v>42.6240951650454</v>
      </c>
    </row>
    <row r="181" customFormat="false" ht="15" hidden="false" customHeight="false" outlineLevel="0" collapsed="false">
      <c r="A181" s="29" t="s">
        <v>1891</v>
      </c>
      <c r="B181" s="60"/>
      <c r="C181" s="136" t="n">
        <v>0.005</v>
      </c>
      <c r="D181" s="136" t="n">
        <v>0.02</v>
      </c>
      <c r="E181" s="136" t="n">
        <v>0.004</v>
      </c>
      <c r="F181" s="122" t="n">
        <f aca="false">CHOOSE(Assumptions!$C$11,C181,D181,E181)</f>
        <v>0.005</v>
      </c>
      <c r="G181" s="98" t="n">
        <f aca="false">Assumptions!$C$156</f>
        <v>0.005</v>
      </c>
    </row>
    <row r="182" customFormat="false" ht="15" hidden="false" customHeight="false" outlineLevel="0" collapsed="false">
      <c r="A182" s="29" t="s">
        <v>1892</v>
      </c>
      <c r="B182" s="60" t="s">
        <v>1869</v>
      </c>
      <c r="C182" s="138" t="n">
        <v>1</v>
      </c>
      <c r="D182" s="138" t="n">
        <v>0.8</v>
      </c>
      <c r="E182" s="138" t="n">
        <v>1.05</v>
      </c>
      <c r="F182" s="140" t="n">
        <f aca="false">CHOOSE(Assumptions!$C$11,C182,D182,E182)</f>
        <v>1</v>
      </c>
    </row>
    <row r="183" customFormat="false" ht="15" hidden="false" customHeight="false" outlineLevel="0" collapsed="false">
      <c r="A183" s="29" t="s">
        <v>1893</v>
      </c>
      <c r="B183" s="60"/>
      <c r="C183" s="127" t="n">
        <v>0.6</v>
      </c>
      <c r="D183" s="127" t="n">
        <v>0</v>
      </c>
      <c r="E183" s="127" t="n">
        <v>0.7</v>
      </c>
      <c r="F183" s="63" t="n">
        <f aca="false">CHOOSE(Assumptions!$C$11,C183,D183,E183)</f>
        <v>0.6</v>
      </c>
    </row>
    <row r="185" customFormat="false" ht="15" hidden="false" customHeight="false" outlineLevel="0" collapsed="false">
      <c r="A185" s="23" t="s">
        <v>1894</v>
      </c>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row>
    <row r="186" customFormat="false" ht="15" hidden="false" customHeight="false" outlineLevel="0" collapsed="false">
      <c r="A186" s="29" t="s">
        <v>1895</v>
      </c>
      <c r="E186" s="143" t="n">
        <f aca="false">Assumptions!$C$8</f>
        <v>46053</v>
      </c>
      <c r="F186" s="143" t="n">
        <f aca="false">EOMONTH(E186,1)</f>
        <v>46081</v>
      </c>
      <c r="G186" s="143" t="n">
        <f aca="false">EOMONTH(F186,1)</f>
        <v>46112</v>
      </c>
      <c r="H186" s="143" t="n">
        <f aca="false">EOMONTH(G186,1)</f>
        <v>46142</v>
      </c>
      <c r="I186" s="143" t="n">
        <f aca="false">EOMONTH(H186,1)</f>
        <v>46173</v>
      </c>
      <c r="J186" s="143" t="n">
        <f aca="false">EOMONTH(I186,1)</f>
        <v>46203</v>
      </c>
      <c r="K186" s="143" t="n">
        <f aca="false">EOMONTH(J186,1)</f>
        <v>46234</v>
      </c>
      <c r="L186" s="143" t="n">
        <f aca="false">EOMONTH(K186,1)</f>
        <v>46265</v>
      </c>
      <c r="M186" s="143" t="n">
        <f aca="false">EOMONTH(L186,1)</f>
        <v>46295</v>
      </c>
      <c r="N186" s="143" t="n">
        <f aca="false">EOMONTH(M186,1)</f>
        <v>46326</v>
      </c>
      <c r="O186" s="143" t="n">
        <f aca="false">EOMONTH(N186,1)</f>
        <v>46356</v>
      </c>
      <c r="P186" s="143" t="n">
        <f aca="false">EOMONTH(O186,1)</f>
        <v>46387</v>
      </c>
      <c r="Q186" s="143" t="n">
        <f aca="false">EOMONTH(P186,1)</f>
        <v>46418</v>
      </c>
      <c r="R186" s="143" t="n">
        <f aca="false">EOMONTH(Q186,1)</f>
        <v>46446</v>
      </c>
      <c r="S186" s="143" t="n">
        <f aca="false">EOMONTH(R186,1)</f>
        <v>46477</v>
      </c>
      <c r="T186" s="143" t="n">
        <f aca="false">EOMONTH(S186,1)</f>
        <v>46507</v>
      </c>
      <c r="U186" s="143" t="n">
        <f aca="false">EOMONTH(T186,1)</f>
        <v>46538</v>
      </c>
      <c r="V186" s="143" t="n">
        <f aca="false">EOMONTH(U186,1)</f>
        <v>46568</v>
      </c>
      <c r="W186" s="143" t="n">
        <f aca="false">EOMONTH(V186,1)</f>
        <v>46599</v>
      </c>
      <c r="X186" s="143" t="n">
        <f aca="false">EOMONTH(W186,1)</f>
        <v>46630</v>
      </c>
      <c r="Y186" s="143" t="n">
        <f aca="false">EOMONTH(X186,1)</f>
        <v>46660</v>
      </c>
      <c r="Z186" s="143" t="n">
        <f aca="false">EOMONTH(Y186,1)</f>
        <v>46691</v>
      </c>
      <c r="AA186" s="143" t="n">
        <f aca="false">EOMONTH(Z186,1)</f>
        <v>46721</v>
      </c>
      <c r="AB186" s="143" t="n">
        <f aca="false">EOMONTH(AA186,1)</f>
        <v>46752</v>
      </c>
    </row>
    <row r="187" customFormat="false" ht="15" hidden="false" customHeight="false" outlineLevel="0" collapsed="false">
      <c r="A187" s="29" t="s">
        <v>310</v>
      </c>
      <c r="E187" s="144" t="n">
        <v>1</v>
      </c>
      <c r="F187" s="144" t="n">
        <f aca="false">E187+1</f>
        <v>2</v>
      </c>
      <c r="G187" s="144" t="n">
        <f aca="false">F187+1</f>
        <v>3</v>
      </c>
      <c r="H187" s="144" t="n">
        <f aca="false">G187+1</f>
        <v>4</v>
      </c>
      <c r="I187" s="144" t="n">
        <f aca="false">H187+1</f>
        <v>5</v>
      </c>
      <c r="J187" s="144" t="n">
        <f aca="false">I187+1</f>
        <v>6</v>
      </c>
      <c r="K187" s="144" t="n">
        <f aca="false">J187+1</f>
        <v>7</v>
      </c>
      <c r="L187" s="144" t="n">
        <f aca="false">K187+1</f>
        <v>8</v>
      </c>
      <c r="M187" s="144" t="n">
        <f aca="false">L187+1</f>
        <v>9</v>
      </c>
      <c r="N187" s="144" t="n">
        <f aca="false">M187+1</f>
        <v>10</v>
      </c>
      <c r="O187" s="144" t="n">
        <f aca="false">N187+1</f>
        <v>11</v>
      </c>
      <c r="P187" s="144" t="n">
        <f aca="false">O187+1</f>
        <v>12</v>
      </c>
      <c r="Q187" s="144" t="n">
        <f aca="false">P187+1</f>
        <v>13</v>
      </c>
      <c r="R187" s="144" t="n">
        <f aca="false">Q187+1</f>
        <v>14</v>
      </c>
      <c r="S187" s="144" t="n">
        <f aca="false">R187+1</f>
        <v>15</v>
      </c>
      <c r="T187" s="144" t="n">
        <f aca="false">S187+1</f>
        <v>16</v>
      </c>
      <c r="U187" s="144" t="n">
        <f aca="false">T187+1</f>
        <v>17</v>
      </c>
      <c r="V187" s="144" t="n">
        <f aca="false">U187+1</f>
        <v>18</v>
      </c>
      <c r="W187" s="144" t="n">
        <f aca="false">V187+1</f>
        <v>19</v>
      </c>
      <c r="X187" s="144" t="n">
        <f aca="false">W187+1</f>
        <v>20</v>
      </c>
      <c r="Y187" s="144" t="n">
        <f aca="false">X187+1</f>
        <v>21</v>
      </c>
      <c r="Z187" s="144" t="n">
        <f aca="false">Y187+1</f>
        <v>22</v>
      </c>
      <c r="AA187" s="144" t="n">
        <f aca="false">Z187+1</f>
        <v>23</v>
      </c>
      <c r="AB187" s="144" t="n">
        <f aca="false">AA187+1</f>
        <v>24</v>
      </c>
    </row>
    <row r="188" customFormat="false" ht="15" hidden="false" customHeight="false" outlineLevel="0" collapsed="false">
      <c r="A188" s="29" t="s">
        <v>307</v>
      </c>
      <c r="E188" s="145" t="str">
        <f aca="false">IF(Assumptions!E$186&lt;=Assumptions!$C$9,"A","F")</f>
        <v>A</v>
      </c>
      <c r="F188" s="145" t="str">
        <f aca="false">IF(Assumptions!F$186&lt;=Assumptions!$C$9,"A","F")</f>
        <v>A</v>
      </c>
      <c r="G188" s="145" t="str">
        <f aca="false">IF(Assumptions!G$186&lt;=Assumptions!$C$9,"A","F")</f>
        <v>A</v>
      </c>
      <c r="H188" s="145" t="str">
        <f aca="false">IF(Assumptions!H$186&lt;=Assumptions!$C$9,"A","F")</f>
        <v>A</v>
      </c>
      <c r="I188" s="145" t="str">
        <f aca="false">IF(Assumptions!I$186&lt;=Assumptions!$C$9,"A","F")</f>
        <v>A</v>
      </c>
      <c r="J188" s="145" t="str">
        <f aca="false">IF(Assumptions!J$186&lt;=Assumptions!$C$9,"A","F")</f>
        <v>A</v>
      </c>
      <c r="K188" s="145" t="str">
        <f aca="false">IF(Assumptions!K$186&lt;=Assumptions!$C$9,"A","F")</f>
        <v>A</v>
      </c>
      <c r="L188" s="145" t="str">
        <f aca="false">IF(Assumptions!L$186&lt;=Assumptions!$C$9,"A","F")</f>
        <v>A</v>
      </c>
      <c r="M188" s="145" t="str">
        <f aca="false">IF(Assumptions!M$186&lt;=Assumptions!$C$9,"A","F")</f>
        <v>F</v>
      </c>
      <c r="N188" s="145" t="str">
        <f aca="false">IF(Assumptions!N$186&lt;=Assumptions!$C$9,"A","F")</f>
        <v>F</v>
      </c>
      <c r="O188" s="145" t="str">
        <f aca="false">IF(Assumptions!O$186&lt;=Assumptions!$C$9,"A","F")</f>
        <v>F</v>
      </c>
      <c r="P188" s="145" t="str">
        <f aca="false">IF(Assumptions!P$186&lt;=Assumptions!$C$9,"A","F")</f>
        <v>F</v>
      </c>
      <c r="Q188" s="145" t="str">
        <f aca="false">IF(Assumptions!Q$186&lt;=Assumptions!$C$9,"A","F")</f>
        <v>F</v>
      </c>
      <c r="R188" s="145" t="str">
        <f aca="false">IF(Assumptions!R$186&lt;=Assumptions!$C$9,"A","F")</f>
        <v>F</v>
      </c>
      <c r="S188" s="145" t="str">
        <f aca="false">IF(Assumptions!S$186&lt;=Assumptions!$C$9,"A","F")</f>
        <v>F</v>
      </c>
      <c r="T188" s="145" t="str">
        <f aca="false">IF(Assumptions!T$186&lt;=Assumptions!$C$9,"A","F")</f>
        <v>F</v>
      </c>
      <c r="U188" s="145" t="str">
        <f aca="false">IF(Assumptions!U$186&lt;=Assumptions!$C$9,"A","F")</f>
        <v>F</v>
      </c>
      <c r="V188" s="145" t="str">
        <f aca="false">IF(Assumptions!V$186&lt;=Assumptions!$C$9,"A","F")</f>
        <v>F</v>
      </c>
      <c r="W188" s="145" t="str">
        <f aca="false">IF(Assumptions!W$186&lt;=Assumptions!$C$9,"A","F")</f>
        <v>F</v>
      </c>
      <c r="X188" s="145" t="str">
        <f aca="false">IF(Assumptions!X$186&lt;=Assumptions!$C$9,"A","F")</f>
        <v>F</v>
      </c>
      <c r="Y188" s="145" t="str">
        <f aca="false">IF(Assumptions!Y$186&lt;=Assumptions!$C$9,"A","F")</f>
        <v>F</v>
      </c>
      <c r="Z188" s="145" t="str">
        <f aca="false">IF(Assumptions!Z$186&lt;=Assumptions!$C$9,"A","F")</f>
        <v>F</v>
      </c>
      <c r="AA188" s="145" t="str">
        <f aca="false">IF(Assumptions!AA$186&lt;=Assumptions!$C$9,"A","F")</f>
        <v>F</v>
      </c>
      <c r="AB188" s="145" t="str">
        <f aca="false">IF(Assumptions!AB$186&lt;=Assumptions!$C$9,"A","F")</f>
        <v>F</v>
      </c>
    </row>
    <row r="189" customFormat="false" ht="15" hidden="false" customHeight="false" outlineLevel="0" collapsed="false">
      <c r="A189" s="29" t="s">
        <v>1896</v>
      </c>
      <c r="E189" s="144" t="n">
        <f aca="false">YEAR(Assumptions!E$186)</f>
        <v>2026</v>
      </c>
      <c r="F189" s="144" t="n">
        <f aca="false">YEAR(Assumptions!F$186)</f>
        <v>2026</v>
      </c>
      <c r="G189" s="144" t="n">
        <f aca="false">YEAR(Assumptions!G$186)</f>
        <v>2026</v>
      </c>
      <c r="H189" s="144" t="n">
        <f aca="false">YEAR(Assumptions!H$186)</f>
        <v>2026</v>
      </c>
      <c r="I189" s="144" t="n">
        <f aca="false">YEAR(Assumptions!I$186)</f>
        <v>2026</v>
      </c>
      <c r="J189" s="144" t="n">
        <f aca="false">YEAR(Assumptions!J$186)</f>
        <v>2026</v>
      </c>
      <c r="K189" s="144" t="n">
        <f aca="false">YEAR(Assumptions!K$186)</f>
        <v>2026</v>
      </c>
      <c r="L189" s="144" t="n">
        <f aca="false">YEAR(Assumptions!L$186)</f>
        <v>2026</v>
      </c>
      <c r="M189" s="144" t="n">
        <f aca="false">YEAR(Assumptions!M$186)</f>
        <v>2026</v>
      </c>
      <c r="N189" s="144" t="n">
        <f aca="false">YEAR(Assumptions!N$186)</f>
        <v>2026</v>
      </c>
      <c r="O189" s="144" t="n">
        <f aca="false">YEAR(Assumptions!O$186)</f>
        <v>2026</v>
      </c>
      <c r="P189" s="144" t="n">
        <f aca="false">YEAR(Assumptions!P$186)</f>
        <v>2026</v>
      </c>
      <c r="Q189" s="144" t="n">
        <f aca="false">YEAR(Assumptions!Q$186)</f>
        <v>2027</v>
      </c>
      <c r="R189" s="144" t="n">
        <f aca="false">YEAR(Assumptions!R$186)</f>
        <v>2027</v>
      </c>
      <c r="S189" s="144" t="n">
        <f aca="false">YEAR(Assumptions!S$186)</f>
        <v>2027</v>
      </c>
      <c r="T189" s="144" t="n">
        <f aca="false">YEAR(Assumptions!T$186)</f>
        <v>2027</v>
      </c>
      <c r="U189" s="144" t="n">
        <f aca="false">YEAR(Assumptions!U$186)</f>
        <v>2027</v>
      </c>
      <c r="V189" s="144" t="n">
        <f aca="false">YEAR(Assumptions!V$186)</f>
        <v>2027</v>
      </c>
      <c r="W189" s="144" t="n">
        <f aca="false">YEAR(Assumptions!W$186)</f>
        <v>2027</v>
      </c>
      <c r="X189" s="144" t="n">
        <f aca="false">YEAR(Assumptions!X$186)</f>
        <v>2027</v>
      </c>
      <c r="Y189" s="144" t="n">
        <f aca="false">YEAR(Assumptions!Y$186)</f>
        <v>2027</v>
      </c>
      <c r="Z189" s="144" t="n">
        <f aca="false">YEAR(Assumptions!Z$186)</f>
        <v>2027</v>
      </c>
      <c r="AA189" s="144" t="n">
        <f aca="false">YEAR(Assumptions!AA$186)</f>
        <v>2027</v>
      </c>
      <c r="AB189" s="144" t="n">
        <f aca="false">YEAR(Assumptions!AB$186)</f>
        <v>2027</v>
      </c>
    </row>
    <row r="190" customFormat="false" ht="15" hidden="false" customHeight="false" outlineLevel="0" collapsed="false">
      <c r="A190" s="29" t="s">
        <v>1897</v>
      </c>
      <c r="E190" s="144" t="n">
        <f aca="false">MONTH(Assumptions!E$186)</f>
        <v>1</v>
      </c>
      <c r="F190" s="144" t="n">
        <f aca="false">MONTH(Assumptions!F$186)</f>
        <v>2</v>
      </c>
      <c r="G190" s="144" t="n">
        <f aca="false">MONTH(Assumptions!G$186)</f>
        <v>3</v>
      </c>
      <c r="H190" s="144" t="n">
        <f aca="false">MONTH(Assumptions!H$186)</f>
        <v>4</v>
      </c>
      <c r="I190" s="144" t="n">
        <f aca="false">MONTH(Assumptions!I$186)</f>
        <v>5</v>
      </c>
      <c r="J190" s="144" t="n">
        <f aca="false">MONTH(Assumptions!J$186)</f>
        <v>6</v>
      </c>
      <c r="K190" s="144" t="n">
        <f aca="false">MONTH(Assumptions!K$186)</f>
        <v>7</v>
      </c>
      <c r="L190" s="144" t="n">
        <f aca="false">MONTH(Assumptions!L$186)</f>
        <v>8</v>
      </c>
      <c r="M190" s="144" t="n">
        <f aca="false">MONTH(Assumptions!M$186)</f>
        <v>9</v>
      </c>
      <c r="N190" s="144" t="n">
        <f aca="false">MONTH(Assumptions!N$186)</f>
        <v>10</v>
      </c>
      <c r="O190" s="144" t="n">
        <f aca="false">MONTH(Assumptions!O$186)</f>
        <v>11</v>
      </c>
      <c r="P190" s="144" t="n">
        <f aca="false">MONTH(Assumptions!P$186)</f>
        <v>12</v>
      </c>
      <c r="Q190" s="144" t="n">
        <f aca="false">MONTH(Assumptions!Q$186)</f>
        <v>1</v>
      </c>
      <c r="R190" s="144" t="n">
        <f aca="false">MONTH(Assumptions!R$186)</f>
        <v>2</v>
      </c>
      <c r="S190" s="144" t="n">
        <f aca="false">MONTH(Assumptions!S$186)</f>
        <v>3</v>
      </c>
      <c r="T190" s="144" t="n">
        <f aca="false">MONTH(Assumptions!T$186)</f>
        <v>4</v>
      </c>
      <c r="U190" s="144" t="n">
        <f aca="false">MONTH(Assumptions!U$186)</f>
        <v>5</v>
      </c>
      <c r="V190" s="144" t="n">
        <f aca="false">MONTH(Assumptions!V$186)</f>
        <v>6</v>
      </c>
      <c r="W190" s="144" t="n">
        <f aca="false">MONTH(Assumptions!W$186)</f>
        <v>7</v>
      </c>
      <c r="X190" s="144" t="n">
        <f aca="false">MONTH(Assumptions!X$186)</f>
        <v>8</v>
      </c>
      <c r="Y190" s="144" t="n">
        <f aca="false">MONTH(Assumptions!Y$186)</f>
        <v>9</v>
      </c>
      <c r="Z190" s="144" t="n">
        <f aca="false">MONTH(Assumptions!Z$186)</f>
        <v>10</v>
      </c>
      <c r="AA190" s="144" t="n">
        <f aca="false">MONTH(Assumptions!AA$186)</f>
        <v>11</v>
      </c>
      <c r="AB190" s="144" t="n">
        <f aca="false">MONTH(Assumptions!AB$186)</f>
        <v>12</v>
      </c>
    </row>
    <row r="191" customFormat="false" ht="15" hidden="false" customHeight="false" outlineLevel="0" collapsed="false">
      <c r="A191" s="29" t="s">
        <v>1898</v>
      </c>
      <c r="E191" s="144" t="n">
        <f aca="false">DAY(Assumptions!E$186)</f>
        <v>31</v>
      </c>
      <c r="F191" s="144" t="n">
        <f aca="false">DAY(Assumptions!F$186)</f>
        <v>28</v>
      </c>
      <c r="G191" s="144" t="n">
        <f aca="false">DAY(Assumptions!G$186)</f>
        <v>31</v>
      </c>
      <c r="H191" s="144" t="n">
        <f aca="false">DAY(Assumptions!H$186)</f>
        <v>30</v>
      </c>
      <c r="I191" s="144" t="n">
        <f aca="false">DAY(Assumptions!I$186)</f>
        <v>31</v>
      </c>
      <c r="J191" s="144" t="n">
        <f aca="false">DAY(Assumptions!J$186)</f>
        <v>30</v>
      </c>
      <c r="K191" s="144" t="n">
        <f aca="false">DAY(Assumptions!K$186)</f>
        <v>31</v>
      </c>
      <c r="L191" s="144" t="n">
        <f aca="false">DAY(Assumptions!L$186)</f>
        <v>31</v>
      </c>
      <c r="M191" s="144" t="n">
        <f aca="false">DAY(Assumptions!M$186)</f>
        <v>30</v>
      </c>
      <c r="N191" s="144" t="n">
        <f aca="false">DAY(Assumptions!N$186)</f>
        <v>31</v>
      </c>
      <c r="O191" s="144" t="n">
        <f aca="false">DAY(Assumptions!O$186)</f>
        <v>30</v>
      </c>
      <c r="P191" s="144" t="n">
        <f aca="false">DAY(Assumptions!P$186)</f>
        <v>31</v>
      </c>
      <c r="Q191" s="144" t="n">
        <f aca="false">DAY(Assumptions!Q$186)</f>
        <v>31</v>
      </c>
      <c r="R191" s="144" t="n">
        <f aca="false">DAY(Assumptions!R$186)</f>
        <v>28</v>
      </c>
      <c r="S191" s="144" t="n">
        <f aca="false">DAY(Assumptions!S$186)</f>
        <v>31</v>
      </c>
      <c r="T191" s="144" t="n">
        <f aca="false">DAY(Assumptions!T$186)</f>
        <v>30</v>
      </c>
      <c r="U191" s="144" t="n">
        <f aca="false">DAY(Assumptions!U$186)</f>
        <v>31</v>
      </c>
      <c r="V191" s="144" t="n">
        <f aca="false">DAY(Assumptions!V$186)</f>
        <v>30</v>
      </c>
      <c r="W191" s="144" t="n">
        <f aca="false">DAY(Assumptions!W$186)</f>
        <v>31</v>
      </c>
      <c r="X191" s="144" t="n">
        <f aca="false">DAY(Assumptions!X$186)</f>
        <v>31</v>
      </c>
      <c r="Y191" s="144" t="n">
        <f aca="false">DAY(Assumptions!Y$186)</f>
        <v>30</v>
      </c>
      <c r="Z191" s="144" t="n">
        <f aca="false">DAY(Assumptions!Z$186)</f>
        <v>31</v>
      </c>
      <c r="AA191" s="144" t="n">
        <f aca="false">DAY(Assumptions!AA$186)</f>
        <v>30</v>
      </c>
      <c r="AB191" s="144" t="n">
        <f aca="false">DAY(Assumptions!AB$186)</f>
        <v>31</v>
      </c>
    </row>
    <row r="192" customFormat="false" ht="15" hidden="false" customHeight="false" outlineLevel="0" collapsed="false">
      <c r="A192" s="29" t="s">
        <v>1899</v>
      </c>
      <c r="E192" s="144" t="n">
        <f aca="false">MAX(0,Assumptions!E$187-Assumptions!$C$10)</f>
        <v>0</v>
      </c>
      <c r="F192" s="144" t="n">
        <f aca="false">MAX(0,Assumptions!F$187-Assumptions!$C$10)</f>
        <v>0</v>
      </c>
      <c r="G192" s="144" t="n">
        <f aca="false">MAX(0,Assumptions!G$187-Assumptions!$C$10)</f>
        <v>0</v>
      </c>
      <c r="H192" s="144" t="n">
        <f aca="false">MAX(0,Assumptions!H$187-Assumptions!$C$10)</f>
        <v>0</v>
      </c>
      <c r="I192" s="144" t="n">
        <f aca="false">MAX(0,Assumptions!I$187-Assumptions!$C$10)</f>
        <v>0</v>
      </c>
      <c r="J192" s="144" t="n">
        <f aca="false">MAX(0,Assumptions!J$187-Assumptions!$C$10)</f>
        <v>0</v>
      </c>
      <c r="K192" s="144" t="n">
        <f aca="false">MAX(0,Assumptions!K$187-Assumptions!$C$10)</f>
        <v>0</v>
      </c>
      <c r="L192" s="144" t="n">
        <f aca="false">MAX(0,Assumptions!L$187-Assumptions!$C$10)</f>
        <v>0</v>
      </c>
      <c r="M192" s="144" t="n">
        <f aca="false">MAX(0,Assumptions!M$187-Assumptions!$C$10)</f>
        <v>1</v>
      </c>
      <c r="N192" s="144" t="n">
        <f aca="false">MAX(0,Assumptions!N$187-Assumptions!$C$10)</f>
        <v>2</v>
      </c>
      <c r="O192" s="144" t="n">
        <f aca="false">MAX(0,Assumptions!O$187-Assumptions!$C$10)</f>
        <v>3</v>
      </c>
      <c r="P192" s="144" t="n">
        <f aca="false">MAX(0,Assumptions!P$187-Assumptions!$C$10)</f>
        <v>4</v>
      </c>
      <c r="Q192" s="144" t="n">
        <f aca="false">MAX(0,Assumptions!Q$187-Assumptions!$C$10)</f>
        <v>5</v>
      </c>
      <c r="R192" s="144" t="n">
        <f aca="false">MAX(0,Assumptions!R$187-Assumptions!$C$10)</f>
        <v>6</v>
      </c>
      <c r="S192" s="144" t="n">
        <f aca="false">MAX(0,Assumptions!S$187-Assumptions!$C$10)</f>
        <v>7</v>
      </c>
      <c r="T192" s="144" t="n">
        <f aca="false">MAX(0,Assumptions!T$187-Assumptions!$C$10)</f>
        <v>8</v>
      </c>
      <c r="U192" s="144" t="n">
        <f aca="false">MAX(0,Assumptions!U$187-Assumptions!$C$10)</f>
        <v>9</v>
      </c>
      <c r="V192" s="144" t="n">
        <f aca="false">MAX(0,Assumptions!V$187-Assumptions!$C$10)</f>
        <v>10</v>
      </c>
      <c r="W192" s="144" t="n">
        <f aca="false">MAX(0,Assumptions!W$187-Assumptions!$C$10)</f>
        <v>11</v>
      </c>
      <c r="X192" s="144" t="n">
        <f aca="false">MAX(0,Assumptions!X$187-Assumptions!$C$10)</f>
        <v>12</v>
      </c>
      <c r="Y192" s="144" t="n">
        <f aca="false">MAX(0,Assumptions!Y$187-Assumptions!$C$10)</f>
        <v>13</v>
      </c>
      <c r="Z192" s="144" t="n">
        <f aca="false">MAX(0,Assumptions!Z$187-Assumptions!$C$10)</f>
        <v>14</v>
      </c>
      <c r="AA192" s="144" t="n">
        <f aca="false">MAX(0,Assumptions!AA$187-Assumptions!$C$10)</f>
        <v>15</v>
      </c>
      <c r="AB192" s="144" t="n">
        <f aca="false">MAX(0,Assumptions!AB$187-Assumptions!$C$10)</f>
        <v>16</v>
      </c>
    </row>
    <row r="193" customFormat="false" ht="15" hidden="false" customHeight="false" outlineLevel="0" collapsed="false">
      <c r="A193" s="29" t="s">
        <v>1900</v>
      </c>
      <c r="E193" s="146" t="n">
        <f aca="false">(1+Assumptions!$F$172)^(Assumptions!E$189-YEAR(Assumptions!$C$8))</f>
        <v>1</v>
      </c>
      <c r="F193" s="146" t="n">
        <f aca="false">(1+Assumptions!$F$172)^(Assumptions!F$189-YEAR(Assumptions!$C$8))</f>
        <v>1</v>
      </c>
      <c r="G193" s="146" t="n">
        <f aca="false">(1+Assumptions!$F$172)^(Assumptions!G$189-YEAR(Assumptions!$C$8))</f>
        <v>1</v>
      </c>
      <c r="H193" s="146" t="n">
        <f aca="false">(1+Assumptions!$F$172)^(Assumptions!H$189-YEAR(Assumptions!$C$8))</f>
        <v>1</v>
      </c>
      <c r="I193" s="146" t="n">
        <f aca="false">(1+Assumptions!$F$172)^(Assumptions!I$189-YEAR(Assumptions!$C$8))</f>
        <v>1</v>
      </c>
      <c r="J193" s="146" t="n">
        <f aca="false">(1+Assumptions!$F$172)^(Assumptions!J$189-YEAR(Assumptions!$C$8))</f>
        <v>1</v>
      </c>
      <c r="K193" s="146" t="n">
        <f aca="false">(1+Assumptions!$F$172)^(Assumptions!K$189-YEAR(Assumptions!$C$8))</f>
        <v>1</v>
      </c>
      <c r="L193" s="146" t="n">
        <f aca="false">(1+Assumptions!$F$172)^(Assumptions!L$189-YEAR(Assumptions!$C$8))</f>
        <v>1</v>
      </c>
      <c r="M193" s="146" t="n">
        <f aca="false">(1+Assumptions!$F$172)^(Assumptions!M$189-YEAR(Assumptions!$C$8))</f>
        <v>1</v>
      </c>
      <c r="N193" s="146" t="n">
        <f aca="false">(1+Assumptions!$F$172)^(Assumptions!N$189-YEAR(Assumptions!$C$8))</f>
        <v>1</v>
      </c>
      <c r="O193" s="146" t="n">
        <f aca="false">(1+Assumptions!$F$172)^(Assumptions!O$189-YEAR(Assumptions!$C$8))</f>
        <v>1</v>
      </c>
      <c r="P193" s="146" t="n">
        <f aca="false">(1+Assumptions!$F$172)^(Assumptions!P$189-YEAR(Assumptions!$C$8))</f>
        <v>1</v>
      </c>
      <c r="Q193" s="146" t="n">
        <f aca="false">(1+Assumptions!$F$172)^(Assumptions!Q$189-YEAR(Assumptions!$C$8))</f>
        <v>1.04</v>
      </c>
      <c r="R193" s="146" t="n">
        <f aca="false">(1+Assumptions!$F$172)^(Assumptions!R$189-YEAR(Assumptions!$C$8))</f>
        <v>1.04</v>
      </c>
      <c r="S193" s="146" t="n">
        <f aca="false">(1+Assumptions!$F$172)^(Assumptions!S$189-YEAR(Assumptions!$C$8))</f>
        <v>1.04</v>
      </c>
      <c r="T193" s="146" t="n">
        <f aca="false">(1+Assumptions!$F$172)^(Assumptions!T$189-YEAR(Assumptions!$C$8))</f>
        <v>1.04</v>
      </c>
      <c r="U193" s="146" t="n">
        <f aca="false">(1+Assumptions!$F$172)^(Assumptions!U$189-YEAR(Assumptions!$C$8))</f>
        <v>1.04</v>
      </c>
      <c r="V193" s="146" t="n">
        <f aca="false">(1+Assumptions!$F$172)^(Assumptions!V$189-YEAR(Assumptions!$C$8))</f>
        <v>1.04</v>
      </c>
      <c r="W193" s="146" t="n">
        <f aca="false">(1+Assumptions!$F$172)^(Assumptions!W$189-YEAR(Assumptions!$C$8))</f>
        <v>1.04</v>
      </c>
      <c r="X193" s="146" t="n">
        <f aca="false">(1+Assumptions!$F$172)^(Assumptions!X$189-YEAR(Assumptions!$C$8))</f>
        <v>1.04</v>
      </c>
      <c r="Y193" s="146" t="n">
        <f aca="false">(1+Assumptions!$F$172)^(Assumptions!Y$189-YEAR(Assumptions!$C$8))</f>
        <v>1.04</v>
      </c>
      <c r="Z193" s="146" t="n">
        <f aca="false">(1+Assumptions!$F$172)^(Assumptions!Z$189-YEAR(Assumptions!$C$8))</f>
        <v>1.04</v>
      </c>
      <c r="AA193" s="146" t="n">
        <f aca="false">(1+Assumptions!$F$172)^(Assumptions!AA$189-YEAR(Assumptions!$C$8))</f>
        <v>1.04</v>
      </c>
      <c r="AB193" s="146" t="n">
        <f aca="false">(1+Assumptions!$F$172)^(Assumptions!AB$189-YEAR(Assumptions!$C$8))</f>
        <v>1.04</v>
      </c>
    </row>
    <row r="194" customFormat="false" ht="15" hidden="false" customHeight="false" outlineLevel="0" collapsed="false">
      <c r="A194" s="29" t="s">
        <v>1901</v>
      </c>
      <c r="E194" s="146" t="n">
        <f aca="false">IF(Assumptions!E$189&gt;YEAR(Assumptions!$C$8),1+Assumptions!$F$171,1)</f>
        <v>1</v>
      </c>
      <c r="F194" s="146" t="n">
        <f aca="false">IF(Assumptions!F$189&gt;YEAR(Assumptions!$C$8),1+Assumptions!$F$171,1)</f>
        <v>1</v>
      </c>
      <c r="G194" s="146" t="n">
        <f aca="false">IF(Assumptions!G$189&gt;YEAR(Assumptions!$C$8),1+Assumptions!$F$171,1)</f>
        <v>1</v>
      </c>
      <c r="H194" s="146" t="n">
        <f aca="false">IF(Assumptions!H$189&gt;YEAR(Assumptions!$C$8),1+Assumptions!$F$171,1)</f>
        <v>1</v>
      </c>
      <c r="I194" s="146" t="n">
        <f aca="false">IF(Assumptions!I$189&gt;YEAR(Assumptions!$C$8),1+Assumptions!$F$171,1)</f>
        <v>1</v>
      </c>
      <c r="J194" s="146" t="n">
        <f aca="false">IF(Assumptions!J$189&gt;YEAR(Assumptions!$C$8),1+Assumptions!$F$171,1)</f>
        <v>1</v>
      </c>
      <c r="K194" s="146" t="n">
        <f aca="false">IF(Assumptions!K$189&gt;YEAR(Assumptions!$C$8),1+Assumptions!$F$171,1)</f>
        <v>1</v>
      </c>
      <c r="L194" s="146" t="n">
        <f aca="false">IF(Assumptions!L$189&gt;YEAR(Assumptions!$C$8),1+Assumptions!$F$171,1)</f>
        <v>1</v>
      </c>
      <c r="M194" s="146" t="n">
        <f aca="false">IF(Assumptions!M$189&gt;YEAR(Assumptions!$C$8),1+Assumptions!$F$171,1)</f>
        <v>1</v>
      </c>
      <c r="N194" s="146" t="n">
        <f aca="false">IF(Assumptions!N$189&gt;YEAR(Assumptions!$C$8),1+Assumptions!$F$171,1)</f>
        <v>1</v>
      </c>
      <c r="O194" s="146" t="n">
        <f aca="false">IF(Assumptions!O$189&gt;YEAR(Assumptions!$C$8),1+Assumptions!$F$171,1)</f>
        <v>1</v>
      </c>
      <c r="P194" s="146" t="n">
        <f aca="false">IF(Assumptions!P$189&gt;YEAR(Assumptions!$C$8),1+Assumptions!$F$171,1)</f>
        <v>1</v>
      </c>
      <c r="Q194" s="146" t="n">
        <f aca="false">IF(Assumptions!Q$189&gt;YEAR(Assumptions!$C$8),1+Assumptions!$F$171,1)</f>
        <v>1.04</v>
      </c>
      <c r="R194" s="146" t="n">
        <f aca="false">IF(Assumptions!R$189&gt;YEAR(Assumptions!$C$8),1+Assumptions!$F$171,1)</f>
        <v>1.04</v>
      </c>
      <c r="S194" s="146" t="n">
        <f aca="false">IF(Assumptions!S$189&gt;YEAR(Assumptions!$C$8),1+Assumptions!$F$171,1)</f>
        <v>1.04</v>
      </c>
      <c r="T194" s="146" t="n">
        <f aca="false">IF(Assumptions!T$189&gt;YEAR(Assumptions!$C$8),1+Assumptions!$F$171,1)</f>
        <v>1.04</v>
      </c>
      <c r="U194" s="146" t="n">
        <f aca="false">IF(Assumptions!U$189&gt;YEAR(Assumptions!$C$8),1+Assumptions!$F$171,1)</f>
        <v>1.04</v>
      </c>
      <c r="V194" s="146" t="n">
        <f aca="false">IF(Assumptions!V$189&gt;YEAR(Assumptions!$C$8),1+Assumptions!$F$171,1)</f>
        <v>1.04</v>
      </c>
      <c r="W194" s="146" t="n">
        <f aca="false">IF(Assumptions!W$189&gt;YEAR(Assumptions!$C$8),1+Assumptions!$F$171,1)</f>
        <v>1.04</v>
      </c>
      <c r="X194" s="146" t="n">
        <f aca="false">IF(Assumptions!X$189&gt;YEAR(Assumptions!$C$8),1+Assumptions!$F$171,1)</f>
        <v>1.04</v>
      </c>
      <c r="Y194" s="146" t="n">
        <f aca="false">IF(Assumptions!Y$189&gt;YEAR(Assumptions!$C$8),1+Assumptions!$F$171,1)</f>
        <v>1.04</v>
      </c>
      <c r="Z194" s="146" t="n">
        <f aca="false">IF(Assumptions!Z$189&gt;YEAR(Assumptions!$C$8),1+Assumptions!$F$171,1)</f>
        <v>1.04</v>
      </c>
      <c r="AA194" s="146" t="n">
        <f aca="false">IF(Assumptions!AA$189&gt;YEAR(Assumptions!$C$8),1+Assumptions!$F$171,1)</f>
        <v>1.04</v>
      </c>
      <c r="AB194" s="146" t="n">
        <f aca="false">IF(Assumptions!AB$189&gt;YEAR(Assumptions!$C$8),1+Assumptions!$F$171,1)</f>
        <v>1.04</v>
      </c>
    </row>
    <row r="195" customFormat="false" ht="15" hidden="false" customHeight="false" outlineLevel="0" collapsed="false">
      <c r="A195" s="29" t="s">
        <v>1902</v>
      </c>
      <c r="E195" s="146" t="n">
        <f aca="false">(1+Assumptions!$C$107)^(Assumptions!E$189-YEAR(Assumptions!$C$8))</f>
        <v>1</v>
      </c>
      <c r="F195" s="146" t="n">
        <f aca="false">(1+Assumptions!$C$107)^(Assumptions!F$189-YEAR(Assumptions!$C$8))</f>
        <v>1</v>
      </c>
      <c r="G195" s="146" t="n">
        <f aca="false">(1+Assumptions!$C$107)^(Assumptions!G$189-YEAR(Assumptions!$C$8))</f>
        <v>1</v>
      </c>
      <c r="H195" s="146" t="n">
        <f aca="false">(1+Assumptions!$C$107)^(Assumptions!H$189-YEAR(Assumptions!$C$8))</f>
        <v>1</v>
      </c>
      <c r="I195" s="146" t="n">
        <f aca="false">(1+Assumptions!$C$107)^(Assumptions!I$189-YEAR(Assumptions!$C$8))</f>
        <v>1</v>
      </c>
      <c r="J195" s="146" t="n">
        <f aca="false">(1+Assumptions!$C$107)^(Assumptions!J$189-YEAR(Assumptions!$C$8))</f>
        <v>1</v>
      </c>
      <c r="K195" s="146" t="n">
        <f aca="false">(1+Assumptions!$C$107)^(Assumptions!K$189-YEAR(Assumptions!$C$8))</f>
        <v>1</v>
      </c>
      <c r="L195" s="146" t="n">
        <f aca="false">(1+Assumptions!$C$107)^(Assumptions!L$189-YEAR(Assumptions!$C$8))</f>
        <v>1</v>
      </c>
      <c r="M195" s="146" t="n">
        <f aca="false">(1+Assumptions!$C$107)^(Assumptions!M$189-YEAR(Assumptions!$C$8))</f>
        <v>1</v>
      </c>
      <c r="N195" s="146" t="n">
        <f aca="false">(1+Assumptions!$C$107)^(Assumptions!N$189-YEAR(Assumptions!$C$8))</f>
        <v>1</v>
      </c>
      <c r="O195" s="146" t="n">
        <f aca="false">(1+Assumptions!$C$107)^(Assumptions!O$189-YEAR(Assumptions!$C$8))</f>
        <v>1</v>
      </c>
      <c r="P195" s="146" t="n">
        <f aca="false">(1+Assumptions!$C$107)^(Assumptions!P$189-YEAR(Assumptions!$C$8))</f>
        <v>1</v>
      </c>
      <c r="Q195" s="146" t="n">
        <f aca="false">(1+Assumptions!$C$107)^(Assumptions!Q$189-YEAR(Assumptions!$C$8))</f>
        <v>1.03</v>
      </c>
      <c r="R195" s="146" t="n">
        <f aca="false">(1+Assumptions!$C$107)^(Assumptions!R$189-YEAR(Assumptions!$C$8))</f>
        <v>1.03</v>
      </c>
      <c r="S195" s="146" t="n">
        <f aca="false">(1+Assumptions!$C$107)^(Assumptions!S$189-YEAR(Assumptions!$C$8))</f>
        <v>1.03</v>
      </c>
      <c r="T195" s="146" t="n">
        <f aca="false">(1+Assumptions!$C$107)^(Assumptions!T$189-YEAR(Assumptions!$C$8))</f>
        <v>1.03</v>
      </c>
      <c r="U195" s="146" t="n">
        <f aca="false">(1+Assumptions!$C$107)^(Assumptions!U$189-YEAR(Assumptions!$C$8))</f>
        <v>1.03</v>
      </c>
      <c r="V195" s="146" t="n">
        <f aca="false">(1+Assumptions!$C$107)^(Assumptions!V$189-YEAR(Assumptions!$C$8))</f>
        <v>1.03</v>
      </c>
      <c r="W195" s="146" t="n">
        <f aca="false">(1+Assumptions!$C$107)^(Assumptions!W$189-YEAR(Assumptions!$C$8))</f>
        <v>1.03</v>
      </c>
      <c r="X195" s="146" t="n">
        <f aca="false">(1+Assumptions!$C$107)^(Assumptions!X$189-YEAR(Assumptions!$C$8))</f>
        <v>1.03</v>
      </c>
      <c r="Y195" s="146" t="n">
        <f aca="false">(1+Assumptions!$C$107)^(Assumptions!Y$189-YEAR(Assumptions!$C$8))</f>
        <v>1.03</v>
      </c>
      <c r="Z195" s="146" t="n">
        <f aca="false">(1+Assumptions!$C$107)^(Assumptions!Z$189-YEAR(Assumptions!$C$8))</f>
        <v>1.03</v>
      </c>
      <c r="AA195" s="146" t="n">
        <f aca="false">(1+Assumptions!$C$107)^(Assumptions!AA$189-YEAR(Assumptions!$C$8))</f>
        <v>1.03</v>
      </c>
      <c r="AB195" s="146" t="n">
        <f aca="false">(1+Assumptions!$C$107)^(Assumptions!AB$189-YEAR(Assumptions!$C$8))</f>
        <v>1.03</v>
      </c>
    </row>
    <row r="196" customFormat="false" ht="15" hidden="false" customHeight="false" outlineLevel="0" collapsed="false">
      <c r="A196" s="29" t="s">
        <v>1903</v>
      </c>
      <c r="E196" s="144" t="n">
        <f aca="false">NETWORKDAYS(EOMONTH(Assumptions!E$186,-1)+1,Assumptions!E$186,Assumptions!$C$117:$C$142)</f>
        <v>20</v>
      </c>
      <c r="F196" s="144" t="n">
        <f aca="false">NETWORKDAYS(EOMONTH(Assumptions!F$186,-1)+1,Assumptions!F$186,Assumptions!$C$117:$C$142)</f>
        <v>20</v>
      </c>
      <c r="G196" s="144" t="n">
        <f aca="false">NETWORKDAYS(EOMONTH(Assumptions!G$186,-1)+1,Assumptions!G$186,Assumptions!$C$117:$C$142)</f>
        <v>22</v>
      </c>
      <c r="H196" s="144" t="n">
        <f aca="false">NETWORKDAYS(EOMONTH(Assumptions!H$186,-1)+1,Assumptions!H$186,Assumptions!$C$117:$C$142)</f>
        <v>20</v>
      </c>
      <c r="I196" s="144" t="n">
        <f aca="false">NETWORKDAYS(EOMONTH(Assumptions!I$186,-1)+1,Assumptions!I$186,Assumptions!$C$117:$C$142)</f>
        <v>18</v>
      </c>
      <c r="J196" s="144" t="n">
        <f aca="false">NETWORKDAYS(EOMONTH(Assumptions!J$186,-1)+1,Assumptions!J$186,Assumptions!$C$117:$C$142)</f>
        <v>21</v>
      </c>
      <c r="K196" s="144" t="n">
        <f aca="false">NETWORKDAYS(EOMONTH(Assumptions!K$186,-1)+1,Assumptions!K$186,Assumptions!$C$117:$C$142)</f>
        <v>23</v>
      </c>
      <c r="L196" s="144" t="n">
        <f aca="false">NETWORKDAYS(EOMONTH(Assumptions!L$186,-1)+1,Assumptions!L$186,Assumptions!$C$117:$C$142)</f>
        <v>21</v>
      </c>
      <c r="M196" s="144" t="n">
        <f aca="false">NETWORKDAYS(EOMONTH(Assumptions!M$186,-1)+1,Assumptions!M$186,Assumptions!$C$117:$C$142)</f>
        <v>22</v>
      </c>
      <c r="N196" s="144" t="n">
        <f aca="false">NETWORKDAYS(EOMONTH(Assumptions!N$186,-1)+1,Assumptions!N$186,Assumptions!$C$117:$C$142)</f>
        <v>22</v>
      </c>
      <c r="O196" s="144" t="n">
        <f aca="false">NETWORKDAYS(EOMONTH(Assumptions!O$186,-1)+1,Assumptions!O$186,Assumptions!$C$117:$C$142)</f>
        <v>21</v>
      </c>
      <c r="P196" s="144" t="n">
        <f aca="false">NETWORKDAYS(EOMONTH(Assumptions!P$186,-1)+1,Assumptions!P$186,Assumptions!$C$117:$C$142)</f>
        <v>22</v>
      </c>
      <c r="Q196" s="144" t="n">
        <f aca="false">NETWORKDAYS(EOMONTH(Assumptions!Q$186,-1)+1,Assumptions!Q$186,Assumptions!$C$117:$C$142)</f>
        <v>19</v>
      </c>
      <c r="R196" s="144" t="n">
        <f aca="false">NETWORKDAYS(EOMONTH(Assumptions!R$186,-1)+1,Assumptions!R$186,Assumptions!$C$117:$C$142)</f>
        <v>20</v>
      </c>
      <c r="S196" s="144" t="n">
        <f aca="false">NETWORKDAYS(EOMONTH(Assumptions!S$186,-1)+1,Assumptions!S$186,Assumptions!$C$117:$C$142)</f>
        <v>21</v>
      </c>
      <c r="T196" s="144" t="n">
        <f aca="false">NETWORKDAYS(EOMONTH(Assumptions!T$186,-1)+1,Assumptions!T$186,Assumptions!$C$117:$C$142)</f>
        <v>22</v>
      </c>
      <c r="U196" s="144" t="n">
        <f aca="false">NETWORKDAYS(EOMONTH(Assumptions!U$186,-1)+1,Assumptions!U$186,Assumptions!$C$117:$C$142)</f>
        <v>18</v>
      </c>
      <c r="V196" s="144" t="n">
        <f aca="false">NETWORKDAYS(EOMONTH(Assumptions!V$186,-1)+1,Assumptions!V$186,Assumptions!$C$117:$C$142)</f>
        <v>22</v>
      </c>
      <c r="W196" s="144" t="n">
        <f aca="false">NETWORKDAYS(EOMONTH(Assumptions!W$186,-1)+1,Assumptions!W$186,Assumptions!$C$117:$C$142)</f>
        <v>22</v>
      </c>
      <c r="X196" s="144" t="n">
        <f aca="false">NETWORKDAYS(EOMONTH(Assumptions!X$186,-1)+1,Assumptions!X$186,Assumptions!$C$117:$C$142)</f>
        <v>22</v>
      </c>
      <c r="Y196" s="144" t="n">
        <f aca="false">NETWORKDAYS(EOMONTH(Assumptions!Y$186,-1)+1,Assumptions!Y$186,Assumptions!$C$117:$C$142)</f>
        <v>22</v>
      </c>
      <c r="Z196" s="144" t="n">
        <f aca="false">NETWORKDAYS(EOMONTH(Assumptions!Z$186,-1)+1,Assumptions!Z$186,Assumptions!$C$117:$C$142)</f>
        <v>21</v>
      </c>
      <c r="AA196" s="144" t="n">
        <f aca="false">NETWORKDAYS(EOMONTH(Assumptions!AA$186,-1)+1,Assumptions!AA$186,Assumptions!$C$117:$C$142)</f>
        <v>21</v>
      </c>
      <c r="AB196" s="144" t="n">
        <f aca="false">NETWORKDAYS(EOMONTH(Assumptions!AB$186,-1)+1,Assumptions!AB$186,Assumptions!$C$117:$C$142)</f>
        <v>23</v>
      </c>
    </row>
    <row r="197" customFormat="false" ht="15" hidden="false" customHeight="false" outlineLevel="0" collapsed="false">
      <c r="A197" s="29" t="s">
        <v>1904</v>
      </c>
      <c r="E197" s="147" t="n">
        <v>1.5</v>
      </c>
      <c r="F197" s="147" t="n">
        <v>2</v>
      </c>
      <c r="G197" s="147" t="n">
        <v>2</v>
      </c>
      <c r="H197" s="147" t="n">
        <v>2.5</v>
      </c>
      <c r="I197" s="147" t="n">
        <v>3</v>
      </c>
      <c r="J197" s="147" t="n">
        <v>2</v>
      </c>
      <c r="K197" s="147" t="n">
        <v>3</v>
      </c>
      <c r="L197" s="147" t="n">
        <v>5.5</v>
      </c>
      <c r="M197" s="147" t="n">
        <v>2</v>
      </c>
      <c r="N197" s="147" t="n">
        <v>2.5</v>
      </c>
      <c r="O197" s="147" t="n">
        <v>1.5</v>
      </c>
      <c r="P197" s="147" t="n">
        <v>2.5</v>
      </c>
      <c r="Q197" s="148" t="n">
        <f aca="false">E197</f>
        <v>1.5</v>
      </c>
      <c r="R197" s="148" t="n">
        <f aca="false">F197</f>
        <v>2</v>
      </c>
      <c r="S197" s="148" t="n">
        <f aca="false">G197</f>
        <v>2</v>
      </c>
      <c r="T197" s="148" t="n">
        <f aca="false">H197</f>
        <v>2.5</v>
      </c>
      <c r="U197" s="148" t="n">
        <f aca="false">I197</f>
        <v>3</v>
      </c>
      <c r="V197" s="148" t="n">
        <f aca="false">J197</f>
        <v>2</v>
      </c>
      <c r="W197" s="148" t="n">
        <f aca="false">K197</f>
        <v>3</v>
      </c>
      <c r="X197" s="148" t="n">
        <f aca="false">L197</f>
        <v>5.5</v>
      </c>
      <c r="Y197" s="148" t="n">
        <f aca="false">M197</f>
        <v>2</v>
      </c>
      <c r="Z197" s="148" t="n">
        <f aca="false">N197</f>
        <v>2.5</v>
      </c>
      <c r="AA197" s="148" t="n">
        <f aca="false">O197</f>
        <v>1.5</v>
      </c>
      <c r="AB197" s="148" t="n">
        <f aca="false">P197</f>
        <v>2.5</v>
      </c>
    </row>
    <row r="198" customFormat="false" ht="15" hidden="false" customHeight="false" outlineLevel="0" collapsed="false">
      <c r="A198" s="29" t="s">
        <v>1905</v>
      </c>
      <c r="E198" s="147" t="n">
        <v>1</v>
      </c>
      <c r="F198" s="147" t="n">
        <v>1</v>
      </c>
      <c r="G198" s="147" t="n">
        <v>0.8</v>
      </c>
      <c r="H198" s="147" t="n">
        <v>0.5</v>
      </c>
      <c r="I198" s="147" t="n">
        <v>0.4</v>
      </c>
      <c r="J198" s="147" t="n">
        <v>0.4</v>
      </c>
      <c r="K198" s="147" t="n">
        <v>0.3</v>
      </c>
      <c r="L198" s="147" t="n">
        <v>0.3</v>
      </c>
      <c r="M198" s="147" t="n">
        <v>0.4</v>
      </c>
      <c r="N198" s="147" t="n">
        <v>0.6</v>
      </c>
      <c r="O198" s="147" t="n">
        <v>0.8</v>
      </c>
      <c r="P198" s="147" t="n">
        <v>0.5</v>
      </c>
      <c r="Q198" s="148" t="n">
        <f aca="false">E198</f>
        <v>1</v>
      </c>
      <c r="R198" s="148" t="n">
        <f aca="false">F198</f>
        <v>1</v>
      </c>
      <c r="S198" s="148" t="n">
        <f aca="false">G198</f>
        <v>0.8</v>
      </c>
      <c r="T198" s="148" t="n">
        <f aca="false">H198</f>
        <v>0.5</v>
      </c>
      <c r="U198" s="148" t="n">
        <f aca="false">I198</f>
        <v>0.4</v>
      </c>
      <c r="V198" s="148" t="n">
        <f aca="false">J198</f>
        <v>0.4</v>
      </c>
      <c r="W198" s="148" t="n">
        <f aca="false">K198</f>
        <v>0.3</v>
      </c>
      <c r="X198" s="148" t="n">
        <f aca="false">L198</f>
        <v>0.3</v>
      </c>
      <c r="Y198" s="148" t="n">
        <f aca="false">M198</f>
        <v>0.4</v>
      </c>
      <c r="Z198" s="148" t="n">
        <f aca="false">N198</f>
        <v>0.6</v>
      </c>
      <c r="AA198" s="148" t="n">
        <f aca="false">O198</f>
        <v>0.8</v>
      </c>
      <c r="AB198" s="148" t="n">
        <f aca="false">P198</f>
        <v>0.5</v>
      </c>
    </row>
    <row r="199" customFormat="false" ht="15" hidden="false" customHeight="false" outlineLevel="0" collapsed="false">
      <c r="A199" s="29" t="s">
        <v>1906</v>
      </c>
      <c r="E199" s="147" t="n">
        <v>0.5</v>
      </c>
      <c r="F199" s="147" t="n">
        <v>0.5</v>
      </c>
      <c r="G199" s="147" t="n">
        <v>0.5</v>
      </c>
      <c r="H199" s="147" t="n">
        <v>0.5</v>
      </c>
      <c r="I199" s="147" t="n">
        <v>0.5</v>
      </c>
      <c r="J199" s="147" t="n">
        <v>0.5</v>
      </c>
      <c r="K199" s="147" t="n">
        <v>0.2</v>
      </c>
      <c r="L199" s="147" t="n">
        <v>0</v>
      </c>
      <c r="M199" s="147" t="n">
        <v>0.5</v>
      </c>
      <c r="N199" s="147" t="n">
        <v>0.5</v>
      </c>
      <c r="O199" s="147" t="n">
        <v>0.5</v>
      </c>
      <c r="P199" s="147" t="n">
        <v>0.3</v>
      </c>
      <c r="Q199" s="148" t="n">
        <f aca="false">E199</f>
        <v>0.5</v>
      </c>
      <c r="R199" s="148" t="n">
        <f aca="false">F199</f>
        <v>0.5</v>
      </c>
      <c r="S199" s="148" t="n">
        <f aca="false">G199</f>
        <v>0.5</v>
      </c>
      <c r="T199" s="148" t="n">
        <f aca="false">H199</f>
        <v>0.5</v>
      </c>
      <c r="U199" s="148" t="n">
        <f aca="false">I199</f>
        <v>0.5</v>
      </c>
      <c r="V199" s="148" t="n">
        <f aca="false">J199</f>
        <v>0.5</v>
      </c>
      <c r="W199" s="148" t="n">
        <f aca="false">K199</f>
        <v>0.2</v>
      </c>
      <c r="X199" s="148" t="n">
        <f aca="false">L199</f>
        <v>0</v>
      </c>
      <c r="Y199" s="148" t="n">
        <f aca="false">M199</f>
        <v>0.5</v>
      </c>
      <c r="Z199" s="148" t="n">
        <f aca="false">N199</f>
        <v>0.5</v>
      </c>
      <c r="AA199" s="148" t="n">
        <f aca="false">O199</f>
        <v>0.5</v>
      </c>
      <c r="AB199" s="148" t="n">
        <f aca="false">P199</f>
        <v>0.3</v>
      </c>
    </row>
    <row r="200" customFormat="false" ht="15" hidden="false" customHeight="false" outlineLevel="0" collapsed="false">
      <c r="A200" s="29" t="s">
        <v>1907</v>
      </c>
      <c r="E200" s="148" t="n">
        <f aca="false">(Assumptions!E$196-Assumptions!E$197-Assumptions!E$198-Assumptions!E$199)*8</f>
        <v>136</v>
      </c>
      <c r="F200" s="148" t="n">
        <f aca="false">(Assumptions!F$196-Assumptions!F$197-Assumptions!F$198-Assumptions!F$199)*8</f>
        <v>132</v>
      </c>
      <c r="G200" s="148" t="n">
        <f aca="false">(Assumptions!G$196-Assumptions!G$197-Assumptions!G$198-Assumptions!G$199)*8</f>
        <v>149.6</v>
      </c>
      <c r="H200" s="148" t="n">
        <f aca="false">(Assumptions!H$196-Assumptions!H$197-Assumptions!H$198-Assumptions!H$199)*8</f>
        <v>132</v>
      </c>
      <c r="I200" s="148" t="n">
        <f aca="false">(Assumptions!I$196-Assumptions!I$197-Assumptions!I$198-Assumptions!I$199)*8</f>
        <v>112.8</v>
      </c>
      <c r="J200" s="148" t="n">
        <f aca="false">(Assumptions!J$196-Assumptions!J$197-Assumptions!J$198-Assumptions!J$199)*8</f>
        <v>144.8</v>
      </c>
      <c r="K200" s="148" t="n">
        <f aca="false">(Assumptions!K$196-Assumptions!K$197-Assumptions!K$198-Assumptions!K$199)*8</f>
        <v>156</v>
      </c>
      <c r="L200" s="148" t="n">
        <f aca="false">(Assumptions!L$196-Assumptions!L$197-Assumptions!L$198-Assumptions!L$199)*8</f>
        <v>121.6</v>
      </c>
      <c r="M200" s="148" t="n">
        <f aca="false">(Assumptions!M$196-Assumptions!M$197-Assumptions!M$198-Assumptions!M$199)*8</f>
        <v>152.8</v>
      </c>
      <c r="N200" s="148" t="n">
        <f aca="false">(Assumptions!N$196-Assumptions!N$197-Assumptions!N$198-Assumptions!N$199)*8</f>
        <v>147.2</v>
      </c>
      <c r="O200" s="148" t="n">
        <f aca="false">(Assumptions!O$196-Assumptions!O$197-Assumptions!O$198-Assumptions!O$199)*8</f>
        <v>145.6</v>
      </c>
      <c r="P200" s="148" t="n">
        <f aca="false">(Assumptions!P$196-Assumptions!P$197-Assumptions!P$198-Assumptions!P$199)*8</f>
        <v>149.6</v>
      </c>
      <c r="Q200" s="148" t="n">
        <f aca="false">(Assumptions!Q$196-Assumptions!Q$197-Assumptions!Q$198-Assumptions!Q$199)*8</f>
        <v>128</v>
      </c>
      <c r="R200" s="148" t="n">
        <f aca="false">(Assumptions!R$196-Assumptions!R$197-Assumptions!R$198-Assumptions!R$199)*8</f>
        <v>132</v>
      </c>
      <c r="S200" s="148" t="n">
        <f aca="false">(Assumptions!S$196-Assumptions!S$197-Assumptions!S$198-Assumptions!S$199)*8</f>
        <v>141.6</v>
      </c>
      <c r="T200" s="148" t="n">
        <f aca="false">(Assumptions!T$196-Assumptions!T$197-Assumptions!T$198-Assumptions!T$199)*8</f>
        <v>148</v>
      </c>
      <c r="U200" s="148" t="n">
        <f aca="false">(Assumptions!U$196-Assumptions!U$197-Assumptions!U$198-Assumptions!U$199)*8</f>
        <v>112.8</v>
      </c>
      <c r="V200" s="148" t="n">
        <f aca="false">(Assumptions!V$196-Assumptions!V$197-Assumptions!V$198-Assumptions!V$199)*8</f>
        <v>152.8</v>
      </c>
      <c r="W200" s="148" t="n">
        <f aca="false">(Assumptions!W$196-Assumptions!W$197-Assumptions!W$198-Assumptions!W$199)*8</f>
        <v>148</v>
      </c>
      <c r="X200" s="148" t="n">
        <f aca="false">(Assumptions!X$196-Assumptions!X$197-Assumptions!X$198-Assumptions!X$199)*8</f>
        <v>129.6</v>
      </c>
      <c r="Y200" s="148" t="n">
        <f aca="false">(Assumptions!Y$196-Assumptions!Y$197-Assumptions!Y$198-Assumptions!Y$199)*8</f>
        <v>152.8</v>
      </c>
      <c r="Z200" s="148" t="n">
        <f aca="false">(Assumptions!Z$196-Assumptions!Z$197-Assumptions!Z$198-Assumptions!Z$199)*8</f>
        <v>139.2</v>
      </c>
      <c r="AA200" s="148" t="n">
        <f aca="false">(Assumptions!AA$196-Assumptions!AA$197-Assumptions!AA$198-Assumptions!AA$199)*8</f>
        <v>145.6</v>
      </c>
      <c r="AB200" s="148" t="n">
        <f aca="false">(Assumptions!AB$196-Assumptions!AB$197-Assumptions!AB$198-Assumptions!AB$199)*8</f>
        <v>157.6</v>
      </c>
    </row>
    <row r="201" customFormat="false" ht="15" hidden="false" customHeight="false" outlineLevel="0" collapsed="false">
      <c r="A201" s="29" t="s">
        <v>1908</v>
      </c>
      <c r="E201" s="149" t="n">
        <f aca="false">IF(Assumptions!E$189=2026,Assumptions!$C$43,Assumptions!$C$45)</f>
        <v>8450</v>
      </c>
      <c r="F201" s="149" t="n">
        <f aca="false">IF(Assumptions!F$189=2026,Assumptions!$C$43,Assumptions!$C$45)</f>
        <v>8450</v>
      </c>
      <c r="G201" s="149" t="n">
        <f aca="false">IF(Assumptions!G$189=2026,Assumptions!$C$43,Assumptions!$C$45)</f>
        <v>8450</v>
      </c>
      <c r="H201" s="149" t="n">
        <f aca="false">IF(Assumptions!H$189=2026,Assumptions!$C$43,Assumptions!$C$45)</f>
        <v>8450</v>
      </c>
      <c r="I201" s="149" t="n">
        <f aca="false">IF(Assumptions!I$189=2026,Assumptions!$C$43,Assumptions!$C$45)</f>
        <v>8450</v>
      </c>
      <c r="J201" s="149" t="n">
        <f aca="false">IF(Assumptions!J$189=2026,Assumptions!$C$43,Assumptions!$C$45)</f>
        <v>8450</v>
      </c>
      <c r="K201" s="149" t="n">
        <f aca="false">IF(Assumptions!K$189=2026,Assumptions!$C$43,Assumptions!$C$45)</f>
        <v>8450</v>
      </c>
      <c r="L201" s="149" t="n">
        <f aca="false">IF(Assumptions!L$189=2026,Assumptions!$C$43,Assumptions!$C$45)</f>
        <v>8450</v>
      </c>
      <c r="M201" s="149" t="n">
        <f aca="false">IF(Assumptions!M$189=2026,Assumptions!$C$43,Assumptions!$C$45)</f>
        <v>8450</v>
      </c>
      <c r="N201" s="149" t="n">
        <f aca="false">IF(Assumptions!N$189=2026,Assumptions!$C$43,Assumptions!$C$45)</f>
        <v>8450</v>
      </c>
      <c r="O201" s="149" t="n">
        <f aca="false">IF(Assumptions!O$189=2026,Assumptions!$C$43,Assumptions!$C$45)</f>
        <v>8450</v>
      </c>
      <c r="P201" s="149" t="n">
        <f aca="false">IF(Assumptions!P$189=2026,Assumptions!$C$43,Assumptions!$C$45)</f>
        <v>8450</v>
      </c>
      <c r="Q201" s="149" t="n">
        <f aca="false">IF(Assumptions!Q$189=2026,Assumptions!$C$43,Assumptions!$C$45)</f>
        <v>8850</v>
      </c>
      <c r="R201" s="149" t="n">
        <f aca="false">IF(Assumptions!R$189=2026,Assumptions!$C$43,Assumptions!$C$45)</f>
        <v>8850</v>
      </c>
      <c r="S201" s="149" t="n">
        <f aca="false">IF(Assumptions!S$189=2026,Assumptions!$C$43,Assumptions!$C$45)</f>
        <v>8850</v>
      </c>
      <c r="T201" s="149" t="n">
        <f aca="false">IF(Assumptions!T$189=2026,Assumptions!$C$43,Assumptions!$C$45)</f>
        <v>8850</v>
      </c>
      <c r="U201" s="149" t="n">
        <f aca="false">IF(Assumptions!U$189=2026,Assumptions!$C$43,Assumptions!$C$45)</f>
        <v>8850</v>
      </c>
      <c r="V201" s="149" t="n">
        <f aca="false">IF(Assumptions!V$189=2026,Assumptions!$C$43,Assumptions!$C$45)</f>
        <v>8850</v>
      </c>
      <c r="W201" s="149" t="n">
        <f aca="false">IF(Assumptions!W$189=2026,Assumptions!$C$43,Assumptions!$C$45)</f>
        <v>8850</v>
      </c>
      <c r="X201" s="149" t="n">
        <f aca="false">IF(Assumptions!X$189=2026,Assumptions!$C$43,Assumptions!$C$45)</f>
        <v>8850</v>
      </c>
      <c r="Y201" s="149" t="n">
        <f aca="false">IF(Assumptions!Y$189=2026,Assumptions!$C$43,Assumptions!$C$45)</f>
        <v>8850</v>
      </c>
      <c r="Z201" s="149" t="n">
        <f aca="false">IF(Assumptions!Z$189=2026,Assumptions!$C$43,Assumptions!$C$45)</f>
        <v>8850</v>
      </c>
      <c r="AA201" s="149" t="n">
        <f aca="false">IF(Assumptions!AA$189=2026,Assumptions!$C$43,Assumptions!$C$45)</f>
        <v>8850</v>
      </c>
      <c r="AB201" s="149" t="n">
        <f aca="false">IF(Assumptions!AB$189=2026,Assumptions!$C$43,Assumptions!$C$45)</f>
        <v>8850</v>
      </c>
    </row>
    <row r="202" customFormat="false" ht="15" hidden="false" customHeight="false" outlineLevel="0" collapsed="false">
      <c r="A202" s="29" t="s">
        <v>1909</v>
      </c>
      <c r="E202" s="149" t="n">
        <f aca="false">IF(Assumptions!E$189=2026,Assumptions!$C$44,Assumptions!$C$46)</f>
        <v>5812.5</v>
      </c>
      <c r="F202" s="149" t="n">
        <f aca="false">IF(Assumptions!F$189=2026,Assumptions!$C$44,Assumptions!$C$46)</f>
        <v>5812.5</v>
      </c>
      <c r="G202" s="149" t="n">
        <f aca="false">IF(Assumptions!G$189=2026,Assumptions!$C$44,Assumptions!$C$46)</f>
        <v>5812.5</v>
      </c>
      <c r="H202" s="149" t="n">
        <f aca="false">IF(Assumptions!H$189=2026,Assumptions!$C$44,Assumptions!$C$46)</f>
        <v>5812.5</v>
      </c>
      <c r="I202" s="149" t="n">
        <f aca="false">IF(Assumptions!I$189=2026,Assumptions!$C$44,Assumptions!$C$46)</f>
        <v>5812.5</v>
      </c>
      <c r="J202" s="149" t="n">
        <f aca="false">IF(Assumptions!J$189=2026,Assumptions!$C$44,Assumptions!$C$46)</f>
        <v>5812.5</v>
      </c>
      <c r="K202" s="149" t="n">
        <f aca="false">IF(Assumptions!K$189=2026,Assumptions!$C$44,Assumptions!$C$46)</f>
        <v>5812.5</v>
      </c>
      <c r="L202" s="149" t="n">
        <f aca="false">IF(Assumptions!L$189=2026,Assumptions!$C$44,Assumptions!$C$46)</f>
        <v>5812.5</v>
      </c>
      <c r="M202" s="149" t="n">
        <f aca="false">IF(Assumptions!M$189=2026,Assumptions!$C$44,Assumptions!$C$46)</f>
        <v>5812.5</v>
      </c>
      <c r="N202" s="149" t="n">
        <f aca="false">IF(Assumptions!N$189=2026,Assumptions!$C$44,Assumptions!$C$46)</f>
        <v>5812.5</v>
      </c>
      <c r="O202" s="149" t="n">
        <f aca="false">IF(Assumptions!O$189=2026,Assumptions!$C$44,Assumptions!$C$46)</f>
        <v>5812.5</v>
      </c>
      <c r="P202" s="149" t="n">
        <f aca="false">IF(Assumptions!P$189=2026,Assumptions!$C$44,Assumptions!$C$46)</f>
        <v>5812.5</v>
      </c>
      <c r="Q202" s="149" t="n">
        <f aca="false">IF(Assumptions!Q$189=2026,Assumptions!$C$44,Assumptions!$C$46)</f>
        <v>6375</v>
      </c>
      <c r="R202" s="149" t="n">
        <f aca="false">IF(Assumptions!R$189=2026,Assumptions!$C$44,Assumptions!$C$46)</f>
        <v>6375</v>
      </c>
      <c r="S202" s="149" t="n">
        <f aca="false">IF(Assumptions!S$189=2026,Assumptions!$C$44,Assumptions!$C$46)</f>
        <v>6375</v>
      </c>
      <c r="T202" s="149" t="n">
        <f aca="false">IF(Assumptions!T$189=2026,Assumptions!$C$44,Assumptions!$C$46)</f>
        <v>6375</v>
      </c>
      <c r="U202" s="149" t="n">
        <f aca="false">IF(Assumptions!U$189=2026,Assumptions!$C$44,Assumptions!$C$46)</f>
        <v>6375</v>
      </c>
      <c r="V202" s="149" t="n">
        <f aca="false">IF(Assumptions!V$189=2026,Assumptions!$C$44,Assumptions!$C$46)</f>
        <v>6375</v>
      </c>
      <c r="W202" s="149" t="n">
        <f aca="false">IF(Assumptions!W$189=2026,Assumptions!$C$44,Assumptions!$C$46)</f>
        <v>6375</v>
      </c>
      <c r="X202" s="149" t="n">
        <f aca="false">IF(Assumptions!X$189=2026,Assumptions!$C$44,Assumptions!$C$46)</f>
        <v>6375</v>
      </c>
      <c r="Y202" s="149" t="n">
        <f aca="false">IF(Assumptions!Y$189=2026,Assumptions!$C$44,Assumptions!$C$46)</f>
        <v>6375</v>
      </c>
      <c r="Z202" s="149" t="n">
        <f aca="false">IF(Assumptions!Z$189=2026,Assumptions!$C$44,Assumptions!$C$46)</f>
        <v>6375</v>
      </c>
      <c r="AA202" s="149" t="n">
        <f aca="false">IF(Assumptions!AA$189=2026,Assumptions!$C$44,Assumptions!$C$46)</f>
        <v>6375</v>
      </c>
      <c r="AB202" s="149" t="n">
        <f aca="false">IF(Assumptions!AB$189=2026,Assumptions!$C$44,Assumptions!$C$46)</f>
        <v>6375</v>
      </c>
    </row>
    <row r="203" customFormat="false" ht="15" hidden="false" customHeight="false" outlineLevel="0" collapsed="false">
      <c r="A203" s="29" t="s">
        <v>1910</v>
      </c>
      <c r="E203" s="144" t="n">
        <f aca="false">IF(Assumptions!E$190=3,1,0)</f>
        <v>0</v>
      </c>
      <c r="F203" s="144" t="n">
        <f aca="false">IF(Assumptions!F$190=3,1,0)</f>
        <v>0</v>
      </c>
      <c r="G203" s="144" t="n">
        <f aca="false">IF(Assumptions!G$190=3,1,0)</f>
        <v>1</v>
      </c>
      <c r="H203" s="144" t="n">
        <f aca="false">IF(Assumptions!H$190=3,1,0)</f>
        <v>0</v>
      </c>
      <c r="I203" s="144" t="n">
        <f aca="false">IF(Assumptions!I$190=3,1,0)</f>
        <v>0</v>
      </c>
      <c r="J203" s="144" t="n">
        <f aca="false">IF(Assumptions!J$190=3,1,0)</f>
        <v>0</v>
      </c>
      <c r="K203" s="144" t="n">
        <f aca="false">IF(Assumptions!K$190=3,1,0)</f>
        <v>0</v>
      </c>
      <c r="L203" s="144" t="n">
        <f aca="false">IF(Assumptions!L$190=3,1,0)</f>
        <v>0</v>
      </c>
      <c r="M203" s="144" t="n">
        <f aca="false">IF(Assumptions!M$190=3,1,0)</f>
        <v>0</v>
      </c>
      <c r="N203" s="144" t="n">
        <f aca="false">IF(Assumptions!N$190=3,1,0)</f>
        <v>0</v>
      </c>
      <c r="O203" s="144" t="n">
        <f aca="false">IF(Assumptions!O$190=3,1,0)</f>
        <v>0</v>
      </c>
      <c r="P203" s="144" t="n">
        <f aca="false">IF(Assumptions!P$190=3,1,0)</f>
        <v>0</v>
      </c>
      <c r="Q203" s="144" t="n">
        <f aca="false">IF(Assumptions!Q$190=3,1,0)</f>
        <v>0</v>
      </c>
      <c r="R203" s="144" t="n">
        <f aca="false">IF(Assumptions!R$190=3,1,0)</f>
        <v>0</v>
      </c>
      <c r="S203" s="144" t="n">
        <f aca="false">IF(Assumptions!S$190=3,1,0)</f>
        <v>1</v>
      </c>
      <c r="T203" s="144" t="n">
        <f aca="false">IF(Assumptions!T$190=3,1,0)</f>
        <v>0</v>
      </c>
      <c r="U203" s="144" t="n">
        <f aca="false">IF(Assumptions!U$190=3,1,0)</f>
        <v>0</v>
      </c>
      <c r="V203" s="144" t="n">
        <f aca="false">IF(Assumptions!V$190=3,1,0)</f>
        <v>0</v>
      </c>
      <c r="W203" s="144" t="n">
        <f aca="false">IF(Assumptions!W$190=3,1,0)</f>
        <v>0</v>
      </c>
      <c r="X203" s="144" t="n">
        <f aca="false">IF(Assumptions!X$190=3,1,0)</f>
        <v>0</v>
      </c>
      <c r="Y203" s="144" t="n">
        <f aca="false">IF(Assumptions!Y$190=3,1,0)</f>
        <v>0</v>
      </c>
      <c r="Z203" s="144" t="n">
        <f aca="false">IF(Assumptions!Z$190=3,1,0)</f>
        <v>0</v>
      </c>
      <c r="AA203" s="144" t="n">
        <f aca="false">IF(Assumptions!AA$190=3,1,0)</f>
        <v>0</v>
      </c>
      <c r="AB203" s="144" t="n">
        <f aca="false">IF(Assumptions!AB$190=3,1,0)</f>
        <v>0</v>
      </c>
    </row>
    <row r="204" customFormat="false" ht="15" hidden="false" customHeight="false" outlineLevel="0" collapsed="false">
      <c r="A204" s="29" t="s">
        <v>1911</v>
      </c>
      <c r="E204" s="144" t="n">
        <f aca="false">IF(MOD(Assumptions!E$190,3)=0,1,0)</f>
        <v>0</v>
      </c>
      <c r="F204" s="144" t="n">
        <f aca="false">IF(MOD(Assumptions!F$190,3)=0,1,0)</f>
        <v>0</v>
      </c>
      <c r="G204" s="144" t="n">
        <f aca="false">IF(MOD(Assumptions!G$190,3)=0,1,0)</f>
        <v>1</v>
      </c>
      <c r="H204" s="144" t="n">
        <f aca="false">IF(MOD(Assumptions!H$190,3)=0,1,0)</f>
        <v>0</v>
      </c>
      <c r="I204" s="144" t="n">
        <f aca="false">IF(MOD(Assumptions!I$190,3)=0,1,0)</f>
        <v>0</v>
      </c>
      <c r="J204" s="144" t="n">
        <f aca="false">IF(MOD(Assumptions!J$190,3)=0,1,0)</f>
        <v>1</v>
      </c>
      <c r="K204" s="144" t="n">
        <f aca="false">IF(MOD(Assumptions!K$190,3)=0,1,0)</f>
        <v>0</v>
      </c>
      <c r="L204" s="144" t="n">
        <f aca="false">IF(MOD(Assumptions!L$190,3)=0,1,0)</f>
        <v>0</v>
      </c>
      <c r="M204" s="144" t="n">
        <f aca="false">IF(MOD(Assumptions!M$190,3)=0,1,0)</f>
        <v>1</v>
      </c>
      <c r="N204" s="144" t="n">
        <f aca="false">IF(MOD(Assumptions!N$190,3)=0,1,0)</f>
        <v>0</v>
      </c>
      <c r="O204" s="144" t="n">
        <f aca="false">IF(MOD(Assumptions!O$190,3)=0,1,0)</f>
        <v>0</v>
      </c>
      <c r="P204" s="144" t="n">
        <f aca="false">IF(MOD(Assumptions!P$190,3)=0,1,0)</f>
        <v>1</v>
      </c>
      <c r="Q204" s="144" t="n">
        <f aca="false">IF(MOD(Assumptions!Q$190,3)=0,1,0)</f>
        <v>0</v>
      </c>
      <c r="R204" s="144" t="n">
        <f aca="false">IF(MOD(Assumptions!R$190,3)=0,1,0)</f>
        <v>0</v>
      </c>
      <c r="S204" s="144" t="n">
        <f aca="false">IF(MOD(Assumptions!S$190,3)=0,1,0)</f>
        <v>1</v>
      </c>
      <c r="T204" s="144" t="n">
        <f aca="false">IF(MOD(Assumptions!T$190,3)=0,1,0)</f>
        <v>0</v>
      </c>
      <c r="U204" s="144" t="n">
        <f aca="false">IF(MOD(Assumptions!U$190,3)=0,1,0)</f>
        <v>0</v>
      </c>
      <c r="V204" s="144" t="n">
        <f aca="false">IF(MOD(Assumptions!V$190,3)=0,1,0)</f>
        <v>1</v>
      </c>
      <c r="W204" s="144" t="n">
        <f aca="false">IF(MOD(Assumptions!W$190,3)=0,1,0)</f>
        <v>0</v>
      </c>
      <c r="X204" s="144" t="n">
        <f aca="false">IF(MOD(Assumptions!X$190,3)=0,1,0)</f>
        <v>0</v>
      </c>
      <c r="Y204" s="144" t="n">
        <f aca="false">IF(MOD(Assumptions!Y$190,3)=0,1,0)</f>
        <v>1</v>
      </c>
      <c r="Z204" s="144" t="n">
        <f aca="false">IF(MOD(Assumptions!Z$190,3)=0,1,0)</f>
        <v>0</v>
      </c>
      <c r="AA204" s="144" t="n">
        <f aca="false">IF(MOD(Assumptions!AA$190,3)=0,1,0)</f>
        <v>0</v>
      </c>
      <c r="AB204" s="144" t="n">
        <f aca="false">IF(MOD(Assumptions!AB$190,3)=0,1,0)</f>
        <v>1</v>
      </c>
    </row>
    <row r="205" customFormat="false" ht="15" hidden="false" customHeight="false" outlineLevel="0" collapsed="false">
      <c r="A205" s="29" t="s">
        <v>1912</v>
      </c>
      <c r="E205" s="144" t="n">
        <f aca="false">IF(MOD(Assumptions!E$190,3)=2,1,0)</f>
        <v>0</v>
      </c>
      <c r="F205" s="144" t="n">
        <f aca="false">IF(MOD(Assumptions!F$190,3)=2,1,0)</f>
        <v>1</v>
      </c>
      <c r="G205" s="144" t="n">
        <f aca="false">IF(MOD(Assumptions!G$190,3)=2,1,0)</f>
        <v>0</v>
      </c>
      <c r="H205" s="144" t="n">
        <f aca="false">IF(MOD(Assumptions!H$190,3)=2,1,0)</f>
        <v>0</v>
      </c>
      <c r="I205" s="144" t="n">
        <f aca="false">IF(MOD(Assumptions!I$190,3)=2,1,0)</f>
        <v>1</v>
      </c>
      <c r="J205" s="144" t="n">
        <f aca="false">IF(MOD(Assumptions!J$190,3)=2,1,0)</f>
        <v>0</v>
      </c>
      <c r="K205" s="144" t="n">
        <f aca="false">IF(MOD(Assumptions!K$190,3)=2,1,0)</f>
        <v>0</v>
      </c>
      <c r="L205" s="144" t="n">
        <f aca="false">IF(MOD(Assumptions!L$190,3)=2,1,0)</f>
        <v>1</v>
      </c>
      <c r="M205" s="144" t="n">
        <f aca="false">IF(MOD(Assumptions!M$190,3)=2,1,0)</f>
        <v>0</v>
      </c>
      <c r="N205" s="144" t="n">
        <f aca="false">IF(MOD(Assumptions!N$190,3)=2,1,0)</f>
        <v>0</v>
      </c>
      <c r="O205" s="144" t="n">
        <f aca="false">IF(MOD(Assumptions!O$190,3)=2,1,0)</f>
        <v>1</v>
      </c>
      <c r="P205" s="144" t="n">
        <f aca="false">IF(MOD(Assumptions!P$190,3)=2,1,0)</f>
        <v>0</v>
      </c>
      <c r="Q205" s="144" t="n">
        <f aca="false">IF(MOD(Assumptions!Q$190,3)=2,1,0)</f>
        <v>0</v>
      </c>
      <c r="R205" s="144" t="n">
        <f aca="false">IF(MOD(Assumptions!R$190,3)=2,1,0)</f>
        <v>1</v>
      </c>
      <c r="S205" s="144" t="n">
        <f aca="false">IF(MOD(Assumptions!S$190,3)=2,1,0)</f>
        <v>0</v>
      </c>
      <c r="T205" s="144" t="n">
        <f aca="false">IF(MOD(Assumptions!T$190,3)=2,1,0)</f>
        <v>0</v>
      </c>
      <c r="U205" s="144" t="n">
        <f aca="false">IF(MOD(Assumptions!U$190,3)=2,1,0)</f>
        <v>1</v>
      </c>
      <c r="V205" s="144" t="n">
        <f aca="false">IF(MOD(Assumptions!V$190,3)=2,1,0)</f>
        <v>0</v>
      </c>
      <c r="W205" s="144" t="n">
        <f aca="false">IF(MOD(Assumptions!W$190,3)=2,1,0)</f>
        <v>0</v>
      </c>
      <c r="X205" s="144" t="n">
        <f aca="false">IF(MOD(Assumptions!X$190,3)=2,1,0)</f>
        <v>1</v>
      </c>
      <c r="Y205" s="144" t="n">
        <f aca="false">IF(MOD(Assumptions!Y$190,3)=2,1,0)</f>
        <v>0</v>
      </c>
      <c r="Z205" s="144" t="n">
        <f aca="false">IF(MOD(Assumptions!Z$190,3)=2,1,0)</f>
        <v>0</v>
      </c>
      <c r="AA205" s="144" t="n">
        <f aca="false">IF(MOD(Assumptions!AA$190,3)=2,1,0)</f>
        <v>1</v>
      </c>
      <c r="AB205" s="144" t="n">
        <f aca="false">IF(MOD(Assumptions!AB$190,3)=2,1,0)</f>
        <v>0</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1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1913</v>
      </c>
    </row>
    <row r="3" customFormat="false" ht="15" hidden="false" customHeight="false" outlineLevel="0" collapsed="false">
      <c r="A3" s="51" t="s">
        <v>1914</v>
      </c>
    </row>
    <row r="4" customFormat="false" ht="15" hidden="false" customHeight="false" outlineLevel="0" collapsed="false">
      <c r="A4" s="52" t="s">
        <v>303</v>
      </c>
      <c r="B4" s="52" t="s">
        <v>304</v>
      </c>
      <c r="C4" s="53" t="s">
        <v>305</v>
      </c>
      <c r="D4" s="53" t="s">
        <v>306</v>
      </c>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c r="Q4" s="54" t="n">
        <f aca="false">Assumptions!Q$186</f>
        <v>46418</v>
      </c>
      <c r="R4" s="54" t="n">
        <f aca="false">Assumptions!R$186</f>
        <v>46446</v>
      </c>
      <c r="S4" s="54" t="n">
        <f aca="false">Assumptions!S$186</f>
        <v>46477</v>
      </c>
      <c r="T4" s="54" t="n">
        <f aca="false">Assumptions!T$186</f>
        <v>46507</v>
      </c>
      <c r="U4" s="54" t="n">
        <f aca="false">Assumptions!U$186</f>
        <v>46538</v>
      </c>
      <c r="V4" s="54" t="n">
        <f aca="false">Assumptions!V$186</f>
        <v>46568</v>
      </c>
      <c r="W4" s="54" t="n">
        <f aca="false">Assumptions!W$186</f>
        <v>46599</v>
      </c>
      <c r="X4" s="54" t="n">
        <f aca="false">Assumptions!X$186</f>
        <v>46630</v>
      </c>
      <c r="Y4" s="54" t="n">
        <f aca="false">Assumptions!Y$186</f>
        <v>46660</v>
      </c>
      <c r="Z4" s="54" t="n">
        <f aca="false">Assumptions!Z$186</f>
        <v>46691</v>
      </c>
      <c r="AA4" s="54" t="n">
        <f aca="false">Assumptions!AA$186</f>
        <v>46721</v>
      </c>
      <c r="AB4" s="54" t="n">
        <f aca="false">Assumptions!AB$186</f>
        <v>46752</v>
      </c>
    </row>
    <row r="5" customFormat="false" ht="15" hidden="false" customHeight="false" outlineLevel="0" collapsed="false">
      <c r="A5" s="55" t="s">
        <v>307</v>
      </c>
      <c r="B5" s="56"/>
      <c r="C5" s="57" t="s">
        <v>308</v>
      </c>
      <c r="D5" s="57" t="s">
        <v>309</v>
      </c>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c r="Q5" s="57" t="str">
        <f aca="false">Assumptions!Q$188</f>
        <v>F</v>
      </c>
      <c r="R5" s="57" t="str">
        <f aca="false">Assumptions!R$188</f>
        <v>F</v>
      </c>
      <c r="S5" s="57" t="str">
        <f aca="false">Assumptions!S$188</f>
        <v>F</v>
      </c>
      <c r="T5" s="57" t="str">
        <f aca="false">Assumptions!T$188</f>
        <v>F</v>
      </c>
      <c r="U5" s="57" t="str">
        <f aca="false">Assumptions!U$188</f>
        <v>F</v>
      </c>
      <c r="V5" s="57" t="str">
        <f aca="false">Assumptions!V$188</f>
        <v>F</v>
      </c>
      <c r="W5" s="57" t="str">
        <f aca="false">Assumptions!W$188</f>
        <v>F</v>
      </c>
      <c r="X5" s="57" t="str">
        <f aca="false">Assumptions!X$188</f>
        <v>F</v>
      </c>
      <c r="Y5" s="57" t="str">
        <f aca="false">Assumptions!Y$188</f>
        <v>F</v>
      </c>
      <c r="Z5" s="57" t="str">
        <f aca="false">Assumptions!Z$188</f>
        <v>F</v>
      </c>
      <c r="AA5" s="57" t="str">
        <f aca="false">Assumptions!AA$188</f>
        <v>F</v>
      </c>
      <c r="AB5" s="57" t="str">
        <f aca="false">Assumptions!AB$188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c r="Q6" s="59" t="n">
        <f aca="false">Assumptions!Q$187</f>
        <v>13</v>
      </c>
      <c r="R6" s="59" t="n">
        <f aca="false">Assumptions!R$187</f>
        <v>14</v>
      </c>
      <c r="S6" s="59" t="n">
        <f aca="false">Assumptions!S$187</f>
        <v>15</v>
      </c>
      <c r="T6" s="59" t="n">
        <f aca="false">Assumptions!T$187</f>
        <v>16</v>
      </c>
      <c r="U6" s="59" t="n">
        <f aca="false">Assumptions!U$187</f>
        <v>17</v>
      </c>
      <c r="V6" s="59" t="n">
        <f aca="false">Assumptions!V$187</f>
        <v>18</v>
      </c>
      <c r="W6" s="59" t="n">
        <f aca="false">Assumptions!W$187</f>
        <v>19</v>
      </c>
      <c r="X6" s="59" t="n">
        <f aca="false">Assumptions!X$187</f>
        <v>20</v>
      </c>
      <c r="Y6" s="59" t="n">
        <f aca="false">Assumptions!Y$187</f>
        <v>21</v>
      </c>
      <c r="Z6" s="59" t="n">
        <f aca="false">Assumptions!Z$187</f>
        <v>22</v>
      </c>
      <c r="AA6" s="59" t="n">
        <f aca="false">Assumptions!AA$187</f>
        <v>23</v>
      </c>
      <c r="AB6" s="59" t="n">
        <f aca="false">Assumptions!AB$187</f>
        <v>24</v>
      </c>
    </row>
    <row r="8" customFormat="false" ht="15" hidden="false" customHeight="false" outlineLevel="0" collapsed="false">
      <c r="A8" s="23" t="s">
        <v>1915</v>
      </c>
      <c r="B8" s="24"/>
      <c r="C8" s="24"/>
      <c r="D8" s="24"/>
      <c r="E8" s="24"/>
      <c r="F8" s="24"/>
      <c r="G8" s="24"/>
      <c r="H8" s="24"/>
      <c r="I8" s="24"/>
      <c r="J8" s="24"/>
      <c r="K8" s="24"/>
      <c r="L8" s="24"/>
      <c r="M8" s="24"/>
      <c r="N8" s="24"/>
      <c r="O8" s="24"/>
      <c r="P8" s="24"/>
      <c r="Q8" s="24"/>
      <c r="R8" s="24"/>
      <c r="S8" s="24"/>
      <c r="T8" s="24"/>
      <c r="U8" s="24"/>
      <c r="V8" s="24"/>
      <c r="W8" s="24"/>
      <c r="X8" s="24"/>
      <c r="Y8" s="24"/>
      <c r="Z8" s="24"/>
      <c r="AA8" s="24"/>
      <c r="AB8" s="24"/>
    </row>
    <row r="9" customFormat="false" ht="15" hidden="false" customHeight="false" outlineLevel="0" collapsed="false">
      <c r="A9" s="29" t="s">
        <v>1916</v>
      </c>
      <c r="B9" s="60" t="s">
        <v>1917</v>
      </c>
      <c r="C9" s="66" t="n">
        <f aca="false">SUM(E9:P9)</f>
        <v>5330.9</v>
      </c>
      <c r="E9" s="129" t="n">
        <v>708</v>
      </c>
      <c r="F9" s="129" t="n">
        <v>622</v>
      </c>
      <c r="G9" s="129" t="n">
        <v>749.6</v>
      </c>
      <c r="H9" s="129" t="n">
        <v>562.6</v>
      </c>
      <c r="I9" s="129" t="n">
        <v>615.2</v>
      </c>
      <c r="J9" s="129" t="n">
        <v>696.5</v>
      </c>
      <c r="K9" s="129" t="n">
        <v>801.1</v>
      </c>
      <c r="L9" s="129" t="n">
        <v>575.9</v>
      </c>
    </row>
    <row r="10" customFormat="false" ht="15" hidden="false" customHeight="false" outlineLevel="0" collapsed="false">
      <c r="A10" s="29" t="s">
        <v>1918</v>
      </c>
      <c r="B10" s="60" t="s">
        <v>1919</v>
      </c>
      <c r="E10" s="129" t="n">
        <v>9728</v>
      </c>
      <c r="F10" s="129" t="n">
        <v>9068</v>
      </c>
      <c r="G10" s="129" t="n">
        <v>8320</v>
      </c>
      <c r="H10" s="129" t="n">
        <v>7660</v>
      </c>
      <c r="I10" s="129" t="n">
        <v>7096</v>
      </c>
      <c r="J10" s="129" t="n">
        <v>6372</v>
      </c>
      <c r="K10" s="129" t="n">
        <v>5592</v>
      </c>
      <c r="L10" s="129" t="n">
        <v>4984</v>
      </c>
    </row>
    <row r="11" customFormat="false" ht="15" hidden="false" customHeight="false" outlineLevel="0" collapsed="false">
      <c r="A11" s="29" t="s">
        <v>1920</v>
      </c>
      <c r="B11" s="60" t="s">
        <v>1921</v>
      </c>
      <c r="C11" s="61" t="n">
        <f aca="false">SUM(E11:P11)</f>
        <v>976162.04</v>
      </c>
      <c r="E11" s="105" t="n">
        <v>129123.85</v>
      </c>
      <c r="F11" s="105" t="n">
        <v>113176.33</v>
      </c>
      <c r="G11" s="105" t="n">
        <v>139848.85</v>
      </c>
      <c r="H11" s="105" t="n">
        <v>101634.82</v>
      </c>
      <c r="I11" s="105" t="n">
        <v>113443.94</v>
      </c>
      <c r="J11" s="105" t="n">
        <v>128377.58</v>
      </c>
      <c r="K11" s="105" t="n">
        <v>144975.83</v>
      </c>
      <c r="L11" s="105" t="n">
        <v>105580.84</v>
      </c>
    </row>
    <row r="12" customFormat="false" ht="15" hidden="false" customHeight="false" outlineLevel="0" collapsed="false">
      <c r="A12" s="29" t="s">
        <v>1922</v>
      </c>
      <c r="B12" s="60" t="s">
        <v>1923</v>
      </c>
      <c r="C12" s="61" t="n">
        <f aca="false">SUM(E12:P12)</f>
        <v>1001637.49</v>
      </c>
      <c r="E12" s="105" t="n">
        <v>131056.29</v>
      </c>
      <c r="F12" s="105" t="n">
        <v>129123.85</v>
      </c>
      <c r="G12" s="105" t="n">
        <v>113176.33</v>
      </c>
      <c r="H12" s="105" t="n">
        <v>139848.85</v>
      </c>
      <c r="I12" s="105" t="n">
        <v>101634.82</v>
      </c>
      <c r="J12" s="105" t="n">
        <v>113443.94</v>
      </c>
      <c r="K12" s="105" t="n">
        <v>128377.58</v>
      </c>
      <c r="L12" s="105" t="n">
        <v>144975.83</v>
      </c>
    </row>
    <row r="13" customFormat="false" ht="15" hidden="false" customHeight="false" outlineLevel="0" collapsed="false">
      <c r="A13" s="29" t="s">
        <v>1924</v>
      </c>
      <c r="B13" s="60" t="s">
        <v>1925</v>
      </c>
      <c r="C13" s="61" t="n">
        <f aca="false">SUM(E13:P13)</f>
        <v>60439.39</v>
      </c>
      <c r="E13" s="105" t="n">
        <v>7418</v>
      </c>
      <c r="F13" s="105" t="n">
        <v>5932.03</v>
      </c>
      <c r="G13" s="105" t="n">
        <v>8990.37</v>
      </c>
      <c r="H13" s="105" t="n">
        <v>5957.49</v>
      </c>
      <c r="I13" s="105" t="n">
        <v>6400.54</v>
      </c>
      <c r="J13" s="105" t="n">
        <v>8203.43</v>
      </c>
      <c r="K13" s="105" t="n">
        <v>10505.41</v>
      </c>
      <c r="L13" s="105" t="n">
        <v>7032.12</v>
      </c>
    </row>
    <row r="14" customFormat="false" ht="15" hidden="false" customHeight="false" outlineLevel="0" collapsed="false">
      <c r="A14" s="29" t="s">
        <v>1926</v>
      </c>
      <c r="B14" s="60" t="s">
        <v>1923</v>
      </c>
      <c r="C14" s="61" t="n">
        <f aca="false">SUM(E14:P14)</f>
        <v>60557.06</v>
      </c>
      <c r="E14" s="105" t="n">
        <v>7149.79</v>
      </c>
      <c r="F14" s="105" t="n">
        <v>7418</v>
      </c>
      <c r="G14" s="105" t="n">
        <v>5932.03</v>
      </c>
      <c r="H14" s="105" t="n">
        <v>8990.37</v>
      </c>
      <c r="I14" s="105" t="n">
        <v>5957.49</v>
      </c>
      <c r="J14" s="105" t="n">
        <v>6400.54</v>
      </c>
      <c r="K14" s="105" t="n">
        <v>8203.43</v>
      </c>
      <c r="L14" s="105" t="n">
        <v>10505.41</v>
      </c>
    </row>
    <row r="15" customFormat="false" ht="15" hidden="false" customHeight="false" outlineLevel="0" collapsed="false">
      <c r="A15" s="29" t="s">
        <v>1927</v>
      </c>
      <c r="B15" s="60" t="s">
        <v>1917</v>
      </c>
      <c r="C15" s="66" t="n">
        <f aca="false">SUM(E15:P15)</f>
        <v>2312.6</v>
      </c>
      <c r="E15" s="129" t="n">
        <v>229.7</v>
      </c>
      <c r="F15" s="129" t="n">
        <v>252.9</v>
      </c>
      <c r="G15" s="129" t="n">
        <v>289.8</v>
      </c>
      <c r="H15" s="129" t="n">
        <v>290.5</v>
      </c>
      <c r="I15" s="129" t="n">
        <v>253.3</v>
      </c>
      <c r="J15" s="129" t="n">
        <v>334.5</v>
      </c>
      <c r="K15" s="129" t="n">
        <v>362.2</v>
      </c>
      <c r="L15" s="129" t="n">
        <v>299.7</v>
      </c>
    </row>
    <row r="16" customFormat="false" ht="15" hidden="false" customHeight="false" outlineLevel="0" collapsed="false">
      <c r="A16" s="29" t="s">
        <v>1928</v>
      </c>
      <c r="B16" s="60" t="s">
        <v>1919</v>
      </c>
      <c r="E16" s="129" t="n">
        <v>1851.9</v>
      </c>
      <c r="F16" s="129" t="n">
        <v>1759</v>
      </c>
      <c r="G16" s="129" t="n">
        <v>1649.2</v>
      </c>
      <c r="H16" s="129" t="n">
        <v>1498.7</v>
      </c>
      <c r="I16" s="129" t="n">
        <v>1365.4</v>
      </c>
      <c r="J16" s="129" t="n">
        <v>1030.9</v>
      </c>
      <c r="K16" s="129" t="n">
        <v>668.7</v>
      </c>
      <c r="L16" s="129" t="n">
        <v>369</v>
      </c>
    </row>
    <row r="17" customFormat="false" ht="15" hidden="false" customHeight="false" outlineLevel="0" collapsed="false">
      <c r="A17" s="29" t="s">
        <v>1929</v>
      </c>
      <c r="B17" s="60" t="s">
        <v>1921</v>
      </c>
      <c r="C17" s="61" t="n">
        <f aca="false">SUM(E17:P17)</f>
        <v>329794.87</v>
      </c>
      <c r="E17" s="105" t="n">
        <v>41567.43</v>
      </c>
      <c r="F17" s="105" t="n">
        <v>37171.67</v>
      </c>
      <c r="G17" s="105" t="n">
        <v>34584.76</v>
      </c>
      <c r="H17" s="105" t="n">
        <v>34810.69</v>
      </c>
      <c r="I17" s="105" t="n">
        <v>28368.01</v>
      </c>
      <c r="J17" s="105" t="n">
        <v>51461.54</v>
      </c>
      <c r="K17" s="105" t="n">
        <v>55723.08</v>
      </c>
      <c r="L17" s="105" t="n">
        <v>46107.69</v>
      </c>
    </row>
    <row r="18" customFormat="false" ht="15" hidden="false" customHeight="false" outlineLevel="0" collapsed="false">
      <c r="A18" s="29" t="s">
        <v>1930</v>
      </c>
      <c r="B18" s="60" t="s">
        <v>1923</v>
      </c>
      <c r="C18" s="61" t="n">
        <f aca="false">SUM(E18:P18)</f>
        <v>408309.08</v>
      </c>
      <c r="E18" s="105" t="n">
        <v>44046.64</v>
      </c>
      <c r="F18" s="105" t="n">
        <v>41567.43</v>
      </c>
      <c r="G18" s="105" t="n">
        <v>45765.8</v>
      </c>
      <c r="H18" s="105" t="n">
        <v>52443.37</v>
      </c>
      <c r="I18" s="105" t="n">
        <v>52570.04</v>
      </c>
      <c r="J18" s="105" t="n">
        <v>45838.18</v>
      </c>
      <c r="K18" s="105" t="n">
        <v>60532.46</v>
      </c>
      <c r="L18" s="105" t="n">
        <v>65545.16</v>
      </c>
    </row>
    <row r="19" customFormat="false" ht="15" hidden="false" customHeight="false" outlineLevel="0" collapsed="false">
      <c r="A19" s="29" t="s">
        <v>1931</v>
      </c>
      <c r="B19" s="60" t="s">
        <v>1925</v>
      </c>
      <c r="C19" s="61" t="n">
        <f aca="false">SUM(E19:P19)</f>
        <v>39087.24</v>
      </c>
      <c r="E19" s="105" t="n">
        <v>3226.3</v>
      </c>
      <c r="F19" s="105" t="n">
        <v>5065.99</v>
      </c>
      <c r="G19" s="105" t="n">
        <v>3593.13</v>
      </c>
      <c r="H19" s="105" t="n">
        <v>4828.71</v>
      </c>
      <c r="I19" s="105" t="n">
        <v>4819.69</v>
      </c>
      <c r="J19" s="105" t="n">
        <v>5835.95</v>
      </c>
      <c r="K19" s="105" t="n">
        <v>7027.99</v>
      </c>
      <c r="L19" s="105" t="n">
        <v>4689.48</v>
      </c>
    </row>
    <row r="20" customFormat="false" ht="15" hidden="false" customHeight="false" outlineLevel="0" collapsed="false">
      <c r="A20" s="29" t="s">
        <v>1932</v>
      </c>
      <c r="B20" s="60" t="s">
        <v>1923</v>
      </c>
      <c r="C20" s="61" t="n">
        <f aca="false">SUM(E20:P20)</f>
        <v>38768.92</v>
      </c>
      <c r="E20" s="105" t="n">
        <v>4371.16</v>
      </c>
      <c r="F20" s="105" t="n">
        <v>3226.3</v>
      </c>
      <c r="G20" s="105" t="n">
        <v>5065.99</v>
      </c>
      <c r="H20" s="105" t="n">
        <v>3593.13</v>
      </c>
      <c r="I20" s="105" t="n">
        <v>4828.71</v>
      </c>
      <c r="J20" s="105" t="n">
        <v>4819.69</v>
      </c>
      <c r="K20" s="105" t="n">
        <v>5835.95</v>
      </c>
      <c r="L20" s="105" t="n">
        <v>7027.99</v>
      </c>
    </row>
    <row r="21" customFormat="false" ht="15" hidden="false" customHeight="false" outlineLevel="0" collapsed="false">
      <c r="A21" s="29" t="s">
        <v>1933</v>
      </c>
      <c r="B21" s="60" t="s">
        <v>1917</v>
      </c>
      <c r="C21" s="66" t="n">
        <f aca="false">SUM(E21:P21)</f>
        <v>2917.4</v>
      </c>
      <c r="E21" s="129" t="n">
        <v>475.7</v>
      </c>
      <c r="F21" s="129" t="n">
        <v>486.4</v>
      </c>
      <c r="G21" s="129" t="n">
        <v>513.4</v>
      </c>
      <c r="H21" s="129" t="n">
        <v>497.8</v>
      </c>
      <c r="I21" s="129" t="n">
        <v>415.3</v>
      </c>
      <c r="J21" s="129" t="n">
        <v>528.8</v>
      </c>
      <c r="K21" s="129" t="n">
        <v>0</v>
      </c>
      <c r="L21" s="129" t="n">
        <v>0</v>
      </c>
    </row>
    <row r="22" customFormat="false" ht="15" hidden="false" customHeight="false" outlineLevel="0" collapsed="false">
      <c r="A22" s="29" t="s">
        <v>1934</v>
      </c>
      <c r="B22" s="60" t="s">
        <v>1919</v>
      </c>
      <c r="E22" s="129" t="n">
        <v>2493</v>
      </c>
      <c r="F22" s="129" t="n">
        <v>2002.7</v>
      </c>
      <c r="G22" s="129" t="n">
        <v>1447.1</v>
      </c>
      <c r="H22" s="129" t="n">
        <v>956.8</v>
      </c>
      <c r="I22" s="129" t="n">
        <v>537.8</v>
      </c>
      <c r="J22" s="129" t="n">
        <v>0</v>
      </c>
      <c r="K22" s="129" t="n">
        <v>0</v>
      </c>
      <c r="L22" s="129" t="n">
        <v>0</v>
      </c>
    </row>
    <row r="23" customFormat="false" ht="15" hidden="false" customHeight="false" outlineLevel="0" collapsed="false">
      <c r="A23" s="29" t="s">
        <v>1935</v>
      </c>
      <c r="B23" s="60" t="s">
        <v>1921</v>
      </c>
      <c r="C23" s="61" t="n">
        <f aca="false">SUM(E23:P23)</f>
        <v>536721.24</v>
      </c>
      <c r="E23" s="105" t="n">
        <v>87172.41</v>
      </c>
      <c r="F23" s="105" t="n">
        <v>89729.82</v>
      </c>
      <c r="G23" s="105" t="n">
        <v>94929.76</v>
      </c>
      <c r="H23" s="105" t="n">
        <v>90920.74</v>
      </c>
      <c r="I23" s="105" t="n">
        <v>76482.22</v>
      </c>
      <c r="J23" s="105" t="n">
        <v>97486.29</v>
      </c>
      <c r="K23" s="105" t="n">
        <v>0</v>
      </c>
      <c r="L23" s="105" t="n">
        <v>0</v>
      </c>
    </row>
    <row r="24" customFormat="false" ht="15" hidden="false" customHeight="false" outlineLevel="0" collapsed="false">
      <c r="A24" s="29" t="s">
        <v>1936</v>
      </c>
      <c r="B24" s="60" t="s">
        <v>1923</v>
      </c>
      <c r="C24" s="61" t="n">
        <f aca="false">SUM(E24:P24)</f>
        <v>635032.9</v>
      </c>
      <c r="E24" s="105" t="n">
        <v>98311.66</v>
      </c>
      <c r="F24" s="105" t="n">
        <v>87172.41</v>
      </c>
      <c r="G24" s="105" t="n">
        <v>89729.82</v>
      </c>
      <c r="H24" s="105" t="n">
        <v>94929.76</v>
      </c>
      <c r="I24" s="105" t="n">
        <v>90920.74</v>
      </c>
      <c r="J24" s="105" t="n">
        <v>76482.22</v>
      </c>
      <c r="K24" s="105" t="n">
        <v>97486.29</v>
      </c>
      <c r="L24" s="105" t="n">
        <v>0</v>
      </c>
    </row>
    <row r="25" customFormat="false" ht="15" hidden="false" customHeight="false" outlineLevel="0" collapsed="false">
      <c r="A25" s="29" t="s">
        <v>1937</v>
      </c>
      <c r="B25" s="60" t="s">
        <v>1925</v>
      </c>
      <c r="C25" s="61" t="n">
        <f aca="false">SUM(E25:P25)</f>
        <v>24439.36</v>
      </c>
      <c r="E25" s="105" t="n">
        <v>4802.24</v>
      </c>
      <c r="F25" s="105" t="n">
        <v>3891.79</v>
      </c>
      <c r="G25" s="105" t="n">
        <v>4040.9</v>
      </c>
      <c r="H25" s="105" t="n">
        <v>4247.23</v>
      </c>
      <c r="I25" s="105" t="n">
        <v>2718.59</v>
      </c>
      <c r="J25" s="105" t="n">
        <v>4738.61</v>
      </c>
      <c r="K25" s="105" t="n">
        <v>0</v>
      </c>
      <c r="L25" s="105" t="n">
        <v>0</v>
      </c>
    </row>
    <row r="26" customFormat="false" ht="15" hidden="false" customHeight="false" outlineLevel="0" collapsed="false">
      <c r="A26" s="29" t="s">
        <v>1938</v>
      </c>
      <c r="B26" s="60" t="s">
        <v>1923</v>
      </c>
      <c r="C26" s="61" t="n">
        <f aca="false">SUM(E26:P26)</f>
        <v>29133.67</v>
      </c>
      <c r="E26" s="105" t="n">
        <v>4694.31</v>
      </c>
      <c r="F26" s="105" t="n">
        <v>4802.24</v>
      </c>
      <c r="G26" s="105" t="n">
        <v>3891.79</v>
      </c>
      <c r="H26" s="105" t="n">
        <v>4040.9</v>
      </c>
      <c r="I26" s="105" t="n">
        <v>4247.23</v>
      </c>
      <c r="J26" s="105" t="n">
        <v>2718.59</v>
      </c>
      <c r="K26" s="105" t="n">
        <v>4738.61</v>
      </c>
      <c r="L26" s="105" t="n">
        <v>0</v>
      </c>
    </row>
    <row r="27" customFormat="false" ht="15" hidden="false" customHeight="false" outlineLevel="0" collapsed="false">
      <c r="A27" s="29" t="s">
        <v>1939</v>
      </c>
      <c r="B27" s="60" t="s">
        <v>1917</v>
      </c>
      <c r="C27" s="66" t="n">
        <f aca="false">SUM(E27:P27)</f>
        <v>1125.4</v>
      </c>
      <c r="E27" s="129" t="n">
        <v>210</v>
      </c>
      <c r="F27" s="129" t="n">
        <v>212.7</v>
      </c>
      <c r="G27" s="129" t="n">
        <v>308.7</v>
      </c>
      <c r="H27" s="129" t="n">
        <v>217.1</v>
      </c>
      <c r="I27" s="129" t="n">
        <v>176.9</v>
      </c>
      <c r="J27" s="129" t="n">
        <v>0</v>
      </c>
      <c r="K27" s="129" t="n">
        <v>0</v>
      </c>
      <c r="L27" s="129" t="n">
        <v>0</v>
      </c>
    </row>
    <row r="28" customFormat="false" ht="15" hidden="false" customHeight="false" outlineLevel="0" collapsed="false">
      <c r="A28" s="29" t="s">
        <v>1940</v>
      </c>
      <c r="B28" s="60" t="s">
        <v>1919</v>
      </c>
      <c r="E28" s="129" t="n">
        <v>835.4</v>
      </c>
      <c r="F28" s="129" t="n">
        <v>622.7</v>
      </c>
      <c r="G28" s="129" t="n">
        <v>394</v>
      </c>
      <c r="H28" s="129" t="n">
        <v>176.9</v>
      </c>
      <c r="I28" s="129" t="n">
        <v>0</v>
      </c>
      <c r="J28" s="129" t="n">
        <v>0</v>
      </c>
      <c r="K28" s="129" t="n">
        <v>0</v>
      </c>
      <c r="L28" s="129" t="n">
        <v>0</v>
      </c>
    </row>
    <row r="29" customFormat="false" ht="15" hidden="false" customHeight="false" outlineLevel="0" collapsed="false">
      <c r="A29" s="29" t="s">
        <v>1941</v>
      </c>
      <c r="B29" s="60" t="s">
        <v>1921</v>
      </c>
      <c r="C29" s="61" t="n">
        <f aca="false">SUM(E29:P29)</f>
        <v>204841.89</v>
      </c>
      <c r="E29" s="105" t="n">
        <v>41148.65</v>
      </c>
      <c r="F29" s="105" t="n">
        <v>41677.7</v>
      </c>
      <c r="G29" s="105" t="n">
        <v>48771.95</v>
      </c>
      <c r="H29" s="105" t="n">
        <v>40358.33</v>
      </c>
      <c r="I29" s="105" t="n">
        <v>32885.26</v>
      </c>
      <c r="J29" s="105" t="n">
        <v>0</v>
      </c>
      <c r="K29" s="105" t="n">
        <v>0</v>
      </c>
      <c r="L29" s="105" t="n">
        <v>0</v>
      </c>
    </row>
    <row r="30" customFormat="false" ht="15" hidden="false" customHeight="false" outlineLevel="0" collapsed="false">
      <c r="A30" s="29" t="s">
        <v>1942</v>
      </c>
      <c r="B30" s="60" t="s">
        <v>1923</v>
      </c>
      <c r="C30" s="61" t="n">
        <f aca="false">SUM(E30:P30)</f>
        <v>203000</v>
      </c>
      <c r="E30" s="105" t="n">
        <v>0</v>
      </c>
      <c r="F30" s="105" t="n">
        <v>116000</v>
      </c>
      <c r="G30" s="105" t="n">
        <v>0</v>
      </c>
      <c r="H30" s="105" t="n">
        <v>0</v>
      </c>
      <c r="I30" s="105" t="n">
        <v>87000</v>
      </c>
      <c r="J30" s="105" t="n">
        <v>0</v>
      </c>
      <c r="K30" s="105" t="n">
        <v>0</v>
      </c>
      <c r="L30" s="105" t="n">
        <v>0</v>
      </c>
    </row>
    <row r="31" customFormat="false" ht="15" hidden="false" customHeight="false" outlineLevel="0" collapsed="false">
      <c r="A31" s="29" t="s">
        <v>1943</v>
      </c>
      <c r="B31" s="60" t="s">
        <v>1925</v>
      </c>
      <c r="C31" s="61" t="n">
        <f aca="false">SUM(E31:P31)</f>
        <v>12653.04</v>
      </c>
      <c r="E31" s="105" t="n">
        <v>2235.66</v>
      </c>
      <c r="F31" s="105" t="n">
        <v>2631.67</v>
      </c>
      <c r="G31" s="105" t="n">
        <v>3582.84</v>
      </c>
      <c r="H31" s="105" t="n">
        <v>1936.54</v>
      </c>
      <c r="I31" s="105" t="n">
        <v>2266.33</v>
      </c>
      <c r="J31" s="105" t="n">
        <v>0</v>
      </c>
      <c r="K31" s="105" t="n">
        <v>0</v>
      </c>
      <c r="L31" s="105" t="n">
        <v>0</v>
      </c>
    </row>
    <row r="32" customFormat="false" ht="15" hidden="false" customHeight="false" outlineLevel="0" collapsed="false">
      <c r="A32" s="29" t="s">
        <v>1944</v>
      </c>
      <c r="B32" s="60" t="s">
        <v>1917</v>
      </c>
      <c r="C32" s="66" t="n">
        <f aca="false">SUM(E32:P32)</f>
        <v>388.6</v>
      </c>
      <c r="E32" s="129" t="n">
        <v>128.7</v>
      </c>
      <c r="F32" s="129" t="n">
        <v>124.7</v>
      </c>
      <c r="G32" s="129" t="n">
        <v>135.2</v>
      </c>
      <c r="H32" s="129" t="n">
        <v>0</v>
      </c>
      <c r="I32" s="129" t="n">
        <v>0</v>
      </c>
      <c r="J32" s="129" t="n">
        <v>0</v>
      </c>
      <c r="K32" s="129" t="n">
        <v>0</v>
      </c>
      <c r="L32" s="129" t="n">
        <v>0</v>
      </c>
    </row>
    <row r="33" customFormat="false" ht="15" hidden="false" customHeight="false" outlineLevel="0" collapsed="false">
      <c r="A33" s="29" t="s">
        <v>1945</v>
      </c>
      <c r="B33" s="60" t="s">
        <v>1919</v>
      </c>
      <c r="E33" s="129" t="n">
        <v>259.9</v>
      </c>
      <c r="F33" s="129" t="n">
        <v>135.2</v>
      </c>
      <c r="G33" s="129" t="n">
        <v>0</v>
      </c>
      <c r="H33" s="129" t="n">
        <v>0</v>
      </c>
      <c r="I33" s="129" t="n">
        <v>0</v>
      </c>
      <c r="J33" s="129" t="n">
        <v>0</v>
      </c>
      <c r="K33" s="129" t="n">
        <v>0</v>
      </c>
      <c r="L33" s="129" t="n">
        <v>0</v>
      </c>
    </row>
    <row r="34" customFormat="false" ht="15" hidden="false" customHeight="false" outlineLevel="0" collapsed="false">
      <c r="A34" s="29" t="s">
        <v>1946</v>
      </c>
      <c r="B34" s="60" t="s">
        <v>1921</v>
      </c>
      <c r="C34" s="61" t="n">
        <f aca="false">SUM(E34:P34)</f>
        <v>69720</v>
      </c>
      <c r="E34" s="105" t="n">
        <v>20988.75</v>
      </c>
      <c r="F34" s="105" t="n">
        <v>23381.25</v>
      </c>
      <c r="G34" s="105" t="n">
        <v>25350</v>
      </c>
      <c r="H34" s="105" t="n">
        <v>0</v>
      </c>
      <c r="I34" s="105" t="n">
        <v>0</v>
      </c>
      <c r="J34" s="105" t="n">
        <v>0</v>
      </c>
      <c r="K34" s="105" t="n">
        <v>0</v>
      </c>
      <c r="L34" s="105" t="n">
        <v>0</v>
      </c>
    </row>
    <row r="35" customFormat="false" ht="15" hidden="false" customHeight="false" outlineLevel="0" collapsed="false">
      <c r="A35" s="29" t="s">
        <v>1947</v>
      </c>
      <c r="B35" s="60" t="s">
        <v>1923</v>
      </c>
      <c r="C35" s="61" t="n">
        <f aca="false">SUM(E35:P35)</f>
        <v>84000</v>
      </c>
      <c r="E35" s="105" t="n">
        <v>48000</v>
      </c>
      <c r="F35" s="105" t="n">
        <v>0</v>
      </c>
      <c r="G35" s="105" t="n">
        <v>36000</v>
      </c>
      <c r="H35" s="105" t="n">
        <v>0</v>
      </c>
      <c r="I35" s="105" t="n">
        <v>0</v>
      </c>
      <c r="J35" s="105" t="n">
        <v>0</v>
      </c>
      <c r="K35" s="105" t="n">
        <v>0</v>
      </c>
      <c r="L35" s="105" t="n">
        <v>0</v>
      </c>
    </row>
    <row r="36" customFormat="false" ht="15" hidden="false" customHeight="false" outlineLevel="0" collapsed="false">
      <c r="A36" s="29" t="s">
        <v>1948</v>
      </c>
      <c r="B36" s="60" t="s">
        <v>1925</v>
      </c>
      <c r="C36" s="61" t="n">
        <f aca="false">SUM(E36:P36)</f>
        <v>3189.89</v>
      </c>
      <c r="E36" s="105" t="n">
        <v>939.12</v>
      </c>
      <c r="F36" s="105" t="n">
        <v>1153.58</v>
      </c>
      <c r="G36" s="105" t="n">
        <v>1097.19</v>
      </c>
      <c r="H36" s="105" t="n">
        <v>0</v>
      </c>
      <c r="I36" s="105" t="n">
        <v>0</v>
      </c>
      <c r="J36" s="105" t="n">
        <v>0</v>
      </c>
      <c r="K36" s="105" t="n">
        <v>0</v>
      </c>
      <c r="L36" s="105" t="n">
        <v>0</v>
      </c>
    </row>
    <row r="37" customFormat="false" ht="15" hidden="false" customHeight="false" outlineLevel="0" collapsed="false">
      <c r="A37" s="29" t="s">
        <v>1949</v>
      </c>
      <c r="B37" s="60" t="s">
        <v>1917</v>
      </c>
      <c r="C37" s="66" t="n">
        <f aca="false">SUM(E37:P37)</f>
        <v>1212.2</v>
      </c>
      <c r="E37" s="129" t="n">
        <v>190.3</v>
      </c>
      <c r="F37" s="129" t="n">
        <v>196.3</v>
      </c>
      <c r="G37" s="129" t="n">
        <v>199.6</v>
      </c>
      <c r="H37" s="129" t="n">
        <v>187</v>
      </c>
      <c r="I37" s="129" t="n">
        <v>156.6</v>
      </c>
      <c r="J37" s="129" t="n">
        <v>196.9</v>
      </c>
      <c r="K37" s="129" t="n">
        <v>85.5</v>
      </c>
      <c r="L37" s="129" t="n">
        <v>0</v>
      </c>
    </row>
    <row r="38" customFormat="false" ht="15" hidden="false" customHeight="false" outlineLevel="0" collapsed="false">
      <c r="A38" s="29" t="s">
        <v>1950</v>
      </c>
      <c r="B38" s="60" t="s">
        <v>1919</v>
      </c>
      <c r="E38" s="129" t="n">
        <v>0</v>
      </c>
      <c r="F38" s="129" t="n">
        <v>0</v>
      </c>
      <c r="G38" s="129" t="n">
        <v>0</v>
      </c>
      <c r="H38" s="129" t="n">
        <v>0</v>
      </c>
      <c r="I38" s="129" t="n">
        <v>0</v>
      </c>
      <c r="J38" s="129" t="n">
        <v>0</v>
      </c>
      <c r="K38" s="129" t="n">
        <v>0</v>
      </c>
      <c r="L38" s="129" t="n">
        <v>0</v>
      </c>
    </row>
    <row r="39" customFormat="false" ht="15" hidden="false" customHeight="false" outlineLevel="0" collapsed="false">
      <c r="A39" s="29" t="s">
        <v>1951</v>
      </c>
      <c r="B39" s="60" t="s">
        <v>1921</v>
      </c>
      <c r="C39" s="61" t="n">
        <f aca="false">SUM(E39:P39)</f>
        <v>187820.36</v>
      </c>
      <c r="E39" s="105" t="n">
        <v>31876.75</v>
      </c>
      <c r="F39" s="105" t="n">
        <v>32070.05</v>
      </c>
      <c r="G39" s="105" t="n">
        <v>33659.41</v>
      </c>
      <c r="H39" s="105" t="n">
        <v>31861.28</v>
      </c>
      <c r="I39" s="105" t="n">
        <v>26343.91</v>
      </c>
      <c r="J39" s="105" t="n">
        <v>32008.96</v>
      </c>
      <c r="K39" s="105" t="n">
        <v>0</v>
      </c>
      <c r="L39" s="105" t="n">
        <v>0</v>
      </c>
    </row>
    <row r="40" customFormat="false" ht="15" hidden="false" customHeight="false" outlineLevel="0" collapsed="false">
      <c r="A40" s="29" t="s">
        <v>1952</v>
      </c>
      <c r="B40" s="60" t="s">
        <v>1923</v>
      </c>
      <c r="C40" s="61" t="n">
        <f aca="false">SUM(E40:P40)</f>
        <v>219163.31</v>
      </c>
      <c r="E40" s="105" t="n">
        <v>31342.95</v>
      </c>
      <c r="F40" s="105" t="n">
        <v>31876.75</v>
      </c>
      <c r="G40" s="105" t="n">
        <v>32070.05</v>
      </c>
      <c r="H40" s="105" t="n">
        <v>33659.41</v>
      </c>
      <c r="I40" s="105" t="n">
        <v>31861.28</v>
      </c>
      <c r="J40" s="105" t="n">
        <v>26343.91</v>
      </c>
      <c r="K40" s="105" t="n">
        <v>32008.96</v>
      </c>
      <c r="L40" s="105" t="n">
        <v>0</v>
      </c>
    </row>
    <row r="41" customFormat="false" ht="15" hidden="false" customHeight="false" outlineLevel="0" collapsed="false">
      <c r="A41" s="29" t="s">
        <v>1953</v>
      </c>
      <c r="B41" s="60" t="s">
        <v>1925</v>
      </c>
      <c r="C41" s="61" t="n">
        <f aca="false">SUM(E41:P41)</f>
        <v>14576.77</v>
      </c>
      <c r="E41" s="105" t="n">
        <v>2151.07</v>
      </c>
      <c r="F41" s="105" t="n">
        <v>2327.79</v>
      </c>
      <c r="G41" s="105" t="n">
        <v>2813.79</v>
      </c>
      <c r="H41" s="105" t="n">
        <v>3083.92</v>
      </c>
      <c r="I41" s="105" t="n">
        <v>1941</v>
      </c>
      <c r="J41" s="105" t="n">
        <v>2259.2</v>
      </c>
      <c r="K41" s="105" t="n">
        <v>0</v>
      </c>
      <c r="L41" s="105" t="n">
        <v>0</v>
      </c>
    </row>
    <row r="42" customFormat="false" ht="15" hidden="false" customHeight="false" outlineLevel="0" collapsed="false">
      <c r="A42" s="29" t="s">
        <v>1954</v>
      </c>
      <c r="B42" s="60" t="s">
        <v>1923</v>
      </c>
      <c r="C42" s="61" t="n">
        <f aca="false">SUM(E42:P42)</f>
        <v>16976.17</v>
      </c>
      <c r="E42" s="105" t="n">
        <v>2399.4</v>
      </c>
      <c r="F42" s="105" t="n">
        <v>2151.07</v>
      </c>
      <c r="G42" s="105" t="n">
        <v>2327.79</v>
      </c>
      <c r="H42" s="105" t="n">
        <v>2813.79</v>
      </c>
      <c r="I42" s="105" t="n">
        <v>3083.92</v>
      </c>
      <c r="J42" s="105" t="n">
        <v>1941</v>
      </c>
      <c r="K42" s="105" t="n">
        <v>2259.2</v>
      </c>
      <c r="L42" s="105" t="n">
        <v>0</v>
      </c>
    </row>
    <row r="43" customFormat="false" ht="15" hidden="false" customHeight="false" outlineLevel="0" collapsed="false">
      <c r="A43" s="29" t="s">
        <v>1955</v>
      </c>
      <c r="B43" s="60" t="s">
        <v>1917</v>
      </c>
      <c r="C43" s="66" t="n">
        <f aca="false">SUM(E43:P43)</f>
        <v>1450</v>
      </c>
      <c r="E43" s="129" t="n">
        <v>220</v>
      </c>
      <c r="F43" s="129" t="n">
        <v>224</v>
      </c>
      <c r="G43" s="129" t="n">
        <v>244.4</v>
      </c>
      <c r="H43" s="129" t="n">
        <v>249.4</v>
      </c>
      <c r="I43" s="129" t="n">
        <v>209.4</v>
      </c>
      <c r="J43" s="129" t="n">
        <v>302.8</v>
      </c>
      <c r="K43" s="129" t="n">
        <v>0</v>
      </c>
      <c r="L43" s="129" t="n">
        <v>0</v>
      </c>
    </row>
    <row r="44" customFormat="false" ht="15" hidden="false" customHeight="false" outlineLevel="0" collapsed="false">
      <c r="A44" s="29" t="s">
        <v>1956</v>
      </c>
      <c r="B44" s="60" t="s">
        <v>1919</v>
      </c>
      <c r="E44" s="129" t="n">
        <v>1080</v>
      </c>
      <c r="F44" s="129" t="n">
        <v>856</v>
      </c>
      <c r="G44" s="129" t="n">
        <v>691.6</v>
      </c>
      <c r="H44" s="129" t="n">
        <v>512.2</v>
      </c>
      <c r="I44" s="129" t="n">
        <v>302.8</v>
      </c>
      <c r="J44" s="129" t="n">
        <v>0</v>
      </c>
      <c r="K44" s="129" t="n">
        <v>0</v>
      </c>
      <c r="L44" s="129" t="n">
        <v>0</v>
      </c>
    </row>
    <row r="45" customFormat="false" ht="15" hidden="false" customHeight="false" outlineLevel="0" collapsed="false">
      <c r="A45" s="29" t="s">
        <v>1957</v>
      </c>
      <c r="B45" s="60" t="s">
        <v>1921</v>
      </c>
      <c r="C45" s="61" t="n">
        <f aca="false">SUM(E45:P45)</f>
        <v>240000</v>
      </c>
      <c r="E45" s="105" t="n">
        <v>40615.38</v>
      </c>
      <c r="F45" s="105" t="n">
        <v>41353.85</v>
      </c>
      <c r="G45" s="105" t="n">
        <v>37752.51</v>
      </c>
      <c r="H45" s="105" t="n">
        <v>35500.33</v>
      </c>
      <c r="I45" s="105" t="n">
        <v>34659.31</v>
      </c>
      <c r="J45" s="105" t="n">
        <v>50118.62</v>
      </c>
      <c r="K45" s="105" t="n">
        <v>0</v>
      </c>
      <c r="L45" s="105" t="n">
        <v>0</v>
      </c>
    </row>
    <row r="46" customFormat="false" ht="15" hidden="false" customHeight="false" outlineLevel="0" collapsed="false">
      <c r="A46" s="29" t="s">
        <v>1958</v>
      </c>
      <c r="B46" s="60" t="s">
        <v>1923</v>
      </c>
      <c r="C46" s="61" t="n">
        <f aca="false">SUM(E46:P46)</f>
        <v>240000</v>
      </c>
      <c r="E46" s="105" t="n">
        <v>72000</v>
      </c>
      <c r="F46" s="105" t="n">
        <v>0</v>
      </c>
      <c r="G46" s="105" t="n">
        <v>0</v>
      </c>
      <c r="H46" s="105" t="n">
        <v>96000</v>
      </c>
      <c r="I46" s="105" t="n">
        <v>0</v>
      </c>
      <c r="J46" s="105" t="n">
        <v>72000</v>
      </c>
      <c r="K46" s="105" t="n">
        <v>0</v>
      </c>
      <c r="L46" s="105" t="n">
        <v>0</v>
      </c>
    </row>
    <row r="47" customFormat="false" ht="15" hidden="false" customHeight="false" outlineLevel="0" collapsed="false">
      <c r="A47" s="29" t="s">
        <v>1959</v>
      </c>
      <c r="B47" s="60" t="s">
        <v>1925</v>
      </c>
      <c r="C47" s="61" t="n">
        <f aca="false">SUM(E47:P47)</f>
        <v>16779.98</v>
      </c>
      <c r="E47" s="105" t="n">
        <v>3032.46</v>
      </c>
      <c r="F47" s="105" t="n">
        <v>2876.73</v>
      </c>
      <c r="G47" s="105" t="n">
        <v>3209.29</v>
      </c>
      <c r="H47" s="105" t="n">
        <v>1837.95</v>
      </c>
      <c r="I47" s="105" t="n">
        <v>2440.35</v>
      </c>
      <c r="J47" s="105" t="n">
        <v>3383.2</v>
      </c>
      <c r="K47" s="105" t="n">
        <v>0</v>
      </c>
      <c r="L47" s="105" t="n">
        <v>0</v>
      </c>
    </row>
    <row r="48" customFormat="false" ht="15" hidden="false" customHeight="false" outlineLevel="0" collapsed="false">
      <c r="A48" s="29" t="s">
        <v>1960</v>
      </c>
      <c r="B48" s="60" t="s">
        <v>1917</v>
      </c>
      <c r="C48" s="66" t="n">
        <f aca="false">SUM(E48:P48)</f>
        <v>2189.7</v>
      </c>
      <c r="E48" s="129" t="n">
        <v>0</v>
      </c>
      <c r="F48" s="129" t="n">
        <v>298.4</v>
      </c>
      <c r="G48" s="129" t="n">
        <v>345.6</v>
      </c>
      <c r="H48" s="129" t="n">
        <v>299.6</v>
      </c>
      <c r="I48" s="129" t="n">
        <v>263.2</v>
      </c>
      <c r="J48" s="129" t="n">
        <v>328.2</v>
      </c>
      <c r="K48" s="129" t="n">
        <v>376.7</v>
      </c>
      <c r="L48" s="129" t="n">
        <v>278</v>
      </c>
    </row>
    <row r="49" customFormat="false" ht="15" hidden="false" customHeight="false" outlineLevel="0" collapsed="false">
      <c r="A49" s="29" t="s">
        <v>1961</v>
      </c>
      <c r="B49" s="60" t="s">
        <v>1919</v>
      </c>
      <c r="F49" s="129" t="n">
        <v>2552.7</v>
      </c>
      <c r="G49" s="129" t="n">
        <v>2210.7</v>
      </c>
      <c r="H49" s="129" t="n">
        <v>1909</v>
      </c>
      <c r="I49" s="129" t="n">
        <v>1651.2</v>
      </c>
      <c r="J49" s="129" t="n">
        <v>1320.2</v>
      </c>
      <c r="K49" s="129" t="n">
        <v>963.7</v>
      </c>
      <c r="L49" s="129" t="n">
        <v>685.7</v>
      </c>
    </row>
    <row r="50" customFormat="false" ht="15" hidden="false" customHeight="false" outlineLevel="0" collapsed="false">
      <c r="A50" s="29" t="s">
        <v>1962</v>
      </c>
      <c r="B50" s="60" t="s">
        <v>1921</v>
      </c>
      <c r="C50" s="61" t="n">
        <f aca="false">SUM(E50:P50)</f>
        <v>401464.96</v>
      </c>
      <c r="E50" s="105" t="n">
        <v>0</v>
      </c>
      <c r="F50" s="105" t="n">
        <v>54401.79</v>
      </c>
      <c r="G50" s="105" t="n">
        <v>63303.29</v>
      </c>
      <c r="H50" s="105" t="n">
        <v>55130.06</v>
      </c>
      <c r="I50" s="105" t="n">
        <v>48134.69</v>
      </c>
      <c r="J50" s="105" t="n">
        <v>59456.54</v>
      </c>
      <c r="K50" s="105" t="n">
        <v>69476.27</v>
      </c>
      <c r="L50" s="105" t="n">
        <v>51562.32</v>
      </c>
    </row>
    <row r="51" customFormat="false" ht="15" hidden="false" customHeight="false" outlineLevel="0" collapsed="false">
      <c r="A51" s="29" t="s">
        <v>1963</v>
      </c>
      <c r="B51" s="60" t="s">
        <v>1923</v>
      </c>
      <c r="C51" s="61" t="n">
        <f aca="false">SUM(E51:P51)</f>
        <v>349902.64</v>
      </c>
      <c r="E51" s="105" t="n">
        <v>0</v>
      </c>
      <c r="F51" s="105" t="n">
        <v>0</v>
      </c>
      <c r="G51" s="105" t="n">
        <v>54401.79</v>
      </c>
      <c r="H51" s="105" t="n">
        <v>63303.29</v>
      </c>
      <c r="I51" s="105" t="n">
        <v>55130.06</v>
      </c>
      <c r="J51" s="105" t="n">
        <v>48134.69</v>
      </c>
      <c r="K51" s="105" t="n">
        <v>59456.54</v>
      </c>
      <c r="L51" s="105" t="n">
        <v>69476.27</v>
      </c>
    </row>
    <row r="52" customFormat="false" ht="15" hidden="false" customHeight="false" outlineLevel="0" collapsed="false">
      <c r="A52" s="29" t="s">
        <v>1964</v>
      </c>
      <c r="B52" s="60" t="s">
        <v>1925</v>
      </c>
      <c r="C52" s="61" t="n">
        <f aca="false">SUM(E52:P52)</f>
        <v>46788.35</v>
      </c>
      <c r="E52" s="105" t="n">
        <v>0</v>
      </c>
      <c r="F52" s="105" t="n">
        <v>7535.4</v>
      </c>
      <c r="G52" s="105" t="n">
        <v>6323.98</v>
      </c>
      <c r="H52" s="105" t="n">
        <v>5221.12</v>
      </c>
      <c r="I52" s="105" t="n">
        <v>5060.38</v>
      </c>
      <c r="J52" s="105" t="n">
        <v>8359.72</v>
      </c>
      <c r="K52" s="105" t="n">
        <v>7190.01</v>
      </c>
      <c r="L52" s="105" t="n">
        <v>7097.74</v>
      </c>
    </row>
    <row r="53" customFormat="false" ht="15" hidden="false" customHeight="false" outlineLevel="0" collapsed="false">
      <c r="A53" s="29" t="s">
        <v>1965</v>
      </c>
      <c r="B53" s="60" t="s">
        <v>1923</v>
      </c>
      <c r="C53" s="61" t="n">
        <f aca="false">SUM(E53:P53)</f>
        <v>39690.61</v>
      </c>
      <c r="E53" s="105" t="n">
        <v>0</v>
      </c>
      <c r="F53" s="105" t="n">
        <v>0</v>
      </c>
      <c r="G53" s="105" t="n">
        <v>7535.4</v>
      </c>
      <c r="H53" s="105" t="n">
        <v>6323.98</v>
      </c>
      <c r="I53" s="105" t="n">
        <v>5221.12</v>
      </c>
      <c r="J53" s="105" t="n">
        <v>5060.38</v>
      </c>
      <c r="K53" s="105" t="n">
        <v>8359.72</v>
      </c>
      <c r="L53" s="105" t="n">
        <v>7190.01</v>
      </c>
    </row>
    <row r="54" customFormat="false" ht="15" hidden="false" customHeight="false" outlineLevel="0" collapsed="false">
      <c r="A54" s="29" t="s">
        <v>1966</v>
      </c>
      <c r="B54" s="60" t="s">
        <v>1917</v>
      </c>
      <c r="C54" s="66" t="n">
        <f aca="false">SUM(E54:P54)</f>
        <v>1040</v>
      </c>
      <c r="E54" s="129" t="n">
        <v>0</v>
      </c>
      <c r="F54" s="129" t="n">
        <v>0</v>
      </c>
      <c r="G54" s="129" t="n">
        <v>202.7</v>
      </c>
      <c r="H54" s="129" t="n">
        <v>169.3</v>
      </c>
      <c r="I54" s="129" t="n">
        <v>137.4</v>
      </c>
      <c r="J54" s="129" t="n">
        <v>175.6</v>
      </c>
      <c r="K54" s="129" t="n">
        <v>200.5</v>
      </c>
      <c r="L54" s="129" t="n">
        <v>154.5</v>
      </c>
    </row>
    <row r="55" customFormat="false" ht="15" hidden="false" customHeight="false" outlineLevel="0" collapsed="false">
      <c r="A55" s="29" t="s">
        <v>1967</v>
      </c>
      <c r="B55" s="60" t="s">
        <v>1919</v>
      </c>
      <c r="G55" s="129" t="n">
        <v>867.3</v>
      </c>
      <c r="H55" s="129" t="n">
        <v>698</v>
      </c>
      <c r="I55" s="129" t="n">
        <v>530.6</v>
      </c>
      <c r="J55" s="129" t="n">
        <v>355</v>
      </c>
      <c r="K55" s="129" t="n">
        <v>154.5</v>
      </c>
      <c r="L55" s="129" t="n">
        <v>0</v>
      </c>
    </row>
    <row r="56" customFormat="false" ht="15" hidden="false" customHeight="false" outlineLevel="0" collapsed="false">
      <c r="A56" s="29" t="s">
        <v>1968</v>
      </c>
      <c r="B56" s="60" t="s">
        <v>1921</v>
      </c>
      <c r="C56" s="61" t="n">
        <f aca="false">SUM(E56:P56)</f>
        <v>210000</v>
      </c>
      <c r="E56" s="105" t="n">
        <v>0</v>
      </c>
      <c r="F56" s="105" t="n">
        <v>0</v>
      </c>
      <c r="G56" s="105" t="n">
        <v>39782.24</v>
      </c>
      <c r="H56" s="105" t="n">
        <v>33227.11</v>
      </c>
      <c r="I56" s="105" t="n">
        <v>29850.27</v>
      </c>
      <c r="J56" s="105" t="n">
        <v>35457.69</v>
      </c>
      <c r="K56" s="105" t="n">
        <v>40485.57</v>
      </c>
      <c r="L56" s="105" t="n">
        <v>31197.12</v>
      </c>
    </row>
    <row r="57" customFormat="false" ht="15" hidden="false" customHeight="false" outlineLevel="0" collapsed="false">
      <c r="A57" s="29" t="s">
        <v>1969</v>
      </c>
      <c r="B57" s="60" t="s">
        <v>1923</v>
      </c>
      <c r="C57" s="61" t="n">
        <f aca="false">SUM(E57:P57)</f>
        <v>210000</v>
      </c>
      <c r="E57" s="105" t="n">
        <v>0</v>
      </c>
      <c r="F57" s="105" t="n">
        <v>0</v>
      </c>
      <c r="G57" s="105" t="n">
        <v>63000</v>
      </c>
      <c r="H57" s="105" t="n">
        <v>0</v>
      </c>
      <c r="I57" s="105" t="n">
        <v>0</v>
      </c>
      <c r="J57" s="105" t="n">
        <v>84000</v>
      </c>
      <c r="K57" s="105" t="n">
        <v>0</v>
      </c>
      <c r="L57" s="105" t="n">
        <v>63000</v>
      </c>
    </row>
    <row r="58" customFormat="false" ht="15" hidden="false" customHeight="false" outlineLevel="0" collapsed="false">
      <c r="A58" s="29" t="s">
        <v>1970</v>
      </c>
      <c r="B58" s="60" t="s">
        <v>1925</v>
      </c>
      <c r="C58" s="61" t="n">
        <f aca="false">SUM(E58:P58)</f>
        <v>11182.65</v>
      </c>
      <c r="E58" s="105" t="n">
        <v>0</v>
      </c>
      <c r="F58" s="105" t="n">
        <v>0</v>
      </c>
      <c r="G58" s="105" t="n">
        <v>2364.22</v>
      </c>
      <c r="H58" s="105" t="n">
        <v>1587.66</v>
      </c>
      <c r="I58" s="105" t="n">
        <v>1232.14</v>
      </c>
      <c r="J58" s="105" t="n">
        <v>2119.72</v>
      </c>
      <c r="K58" s="105" t="n">
        <v>2160.66</v>
      </c>
      <c r="L58" s="105" t="n">
        <v>1718.25</v>
      </c>
    </row>
    <row r="59" customFormat="false" ht="15" hidden="false" customHeight="false" outlineLevel="0" collapsed="false">
      <c r="A59" s="29" t="s">
        <v>1971</v>
      </c>
      <c r="B59" s="60" t="s">
        <v>1917</v>
      </c>
      <c r="C59" s="66" t="n">
        <f aca="false">SUM(E59:P59)</f>
        <v>1061.2</v>
      </c>
      <c r="E59" s="129" t="n">
        <v>0</v>
      </c>
      <c r="F59" s="129" t="n">
        <v>0</v>
      </c>
      <c r="G59" s="129" t="n">
        <v>183.1</v>
      </c>
      <c r="H59" s="129" t="n">
        <v>162.9</v>
      </c>
      <c r="I59" s="129" t="n">
        <v>142.1</v>
      </c>
      <c r="J59" s="129" t="n">
        <v>192.4</v>
      </c>
      <c r="K59" s="129" t="n">
        <v>216.2</v>
      </c>
      <c r="L59" s="129" t="n">
        <v>164.5</v>
      </c>
    </row>
    <row r="60" customFormat="false" ht="15" hidden="false" customHeight="false" outlineLevel="0" collapsed="false">
      <c r="A60" s="29" t="s">
        <v>1972</v>
      </c>
      <c r="B60" s="60" t="s">
        <v>1919</v>
      </c>
      <c r="G60" s="129" t="n">
        <v>1196.9</v>
      </c>
      <c r="H60" s="129" t="n">
        <v>1034</v>
      </c>
      <c r="I60" s="129" t="n">
        <v>891.9</v>
      </c>
      <c r="J60" s="129" t="n">
        <v>769.5</v>
      </c>
      <c r="K60" s="129" t="n">
        <v>553.3</v>
      </c>
      <c r="L60" s="129" t="n">
        <v>388.8</v>
      </c>
    </row>
    <row r="61" customFormat="false" ht="15" hidden="false" customHeight="false" outlineLevel="0" collapsed="false">
      <c r="A61" s="29" t="s">
        <v>1973</v>
      </c>
      <c r="B61" s="60" t="s">
        <v>1921</v>
      </c>
      <c r="C61" s="61" t="n">
        <f aca="false">SUM(E61:P61)</f>
        <v>190284.14</v>
      </c>
      <c r="E61" s="105" t="n">
        <v>0</v>
      </c>
      <c r="F61" s="105" t="n">
        <v>0</v>
      </c>
      <c r="G61" s="105" t="n">
        <v>33854.82</v>
      </c>
      <c r="H61" s="105" t="n">
        <v>30119.88</v>
      </c>
      <c r="I61" s="105" t="n">
        <v>26274.01</v>
      </c>
      <c r="J61" s="105" t="n">
        <v>31771.98</v>
      </c>
      <c r="K61" s="105" t="n">
        <v>38766.9</v>
      </c>
      <c r="L61" s="105" t="n">
        <v>29496.55</v>
      </c>
    </row>
    <row r="62" customFormat="false" ht="15" hidden="false" customHeight="false" outlineLevel="0" collapsed="false">
      <c r="A62" s="29" t="s">
        <v>1974</v>
      </c>
      <c r="B62" s="60" t="s">
        <v>1923</v>
      </c>
      <c r="C62" s="61" t="n">
        <f aca="false">SUM(E62:P62)</f>
        <v>165798.04</v>
      </c>
      <c r="E62" s="105" t="n">
        <v>0</v>
      </c>
      <c r="F62" s="105" t="n">
        <v>0</v>
      </c>
      <c r="G62" s="105" t="n">
        <v>0</v>
      </c>
      <c r="H62" s="105" t="n">
        <v>33854.82</v>
      </c>
      <c r="I62" s="105" t="n">
        <v>30119.88</v>
      </c>
      <c r="J62" s="105" t="n">
        <v>26274.01</v>
      </c>
      <c r="K62" s="105" t="n">
        <v>35574.38</v>
      </c>
      <c r="L62" s="105" t="n">
        <v>39974.95</v>
      </c>
    </row>
    <row r="63" customFormat="false" ht="15" hidden="false" customHeight="false" outlineLevel="0" collapsed="false">
      <c r="A63" s="29" t="s">
        <v>1975</v>
      </c>
      <c r="B63" s="60" t="s">
        <v>1925</v>
      </c>
      <c r="C63" s="61" t="n">
        <f aca="false">SUM(E63:P63)</f>
        <v>8355.36</v>
      </c>
      <c r="E63" s="105" t="n">
        <v>0</v>
      </c>
      <c r="F63" s="105" t="n">
        <v>0</v>
      </c>
      <c r="G63" s="105" t="n">
        <v>1309.6</v>
      </c>
      <c r="H63" s="105" t="n">
        <v>1410.85</v>
      </c>
      <c r="I63" s="105" t="n">
        <v>983.01</v>
      </c>
      <c r="J63" s="105" t="n">
        <v>1555.19</v>
      </c>
      <c r="K63" s="105" t="n">
        <v>1750.05</v>
      </c>
      <c r="L63" s="105" t="n">
        <v>1346.66</v>
      </c>
    </row>
    <row r="64" customFormat="false" ht="15" hidden="false" customHeight="false" outlineLevel="0" collapsed="false">
      <c r="A64" s="29" t="s">
        <v>1976</v>
      </c>
      <c r="B64" s="60" t="s">
        <v>1923</v>
      </c>
      <c r="C64" s="61" t="n">
        <f aca="false">SUM(E64:P64)</f>
        <v>7008.7</v>
      </c>
      <c r="E64" s="105" t="n">
        <v>0</v>
      </c>
      <c r="F64" s="105" t="n">
        <v>0</v>
      </c>
      <c r="G64" s="105" t="n">
        <v>0</v>
      </c>
      <c r="H64" s="105" t="n">
        <v>1309.6</v>
      </c>
      <c r="I64" s="105" t="n">
        <v>1410.85</v>
      </c>
      <c r="J64" s="105" t="n">
        <v>983.01</v>
      </c>
      <c r="K64" s="105" t="n">
        <v>1555.19</v>
      </c>
      <c r="L64" s="105" t="n">
        <v>1750.05</v>
      </c>
    </row>
    <row r="65" customFormat="false" ht="15" hidden="false" customHeight="false" outlineLevel="0" collapsed="false">
      <c r="A65" s="29" t="s">
        <v>1977</v>
      </c>
      <c r="B65" s="60" t="s">
        <v>1917</v>
      </c>
      <c r="C65" s="66" t="n">
        <f aca="false">SUM(E65:P65)</f>
        <v>704.9</v>
      </c>
      <c r="E65" s="129" t="n">
        <v>0</v>
      </c>
      <c r="F65" s="129" t="n">
        <v>0</v>
      </c>
      <c r="G65" s="129" t="n">
        <v>0</v>
      </c>
      <c r="H65" s="129" t="n">
        <v>133.7</v>
      </c>
      <c r="I65" s="129" t="n">
        <v>116.9</v>
      </c>
      <c r="J65" s="129" t="n">
        <v>145.3</v>
      </c>
      <c r="K65" s="129" t="n">
        <v>178.8</v>
      </c>
      <c r="L65" s="129" t="n">
        <v>130.2</v>
      </c>
    </row>
    <row r="66" customFormat="false" ht="15" hidden="false" customHeight="false" outlineLevel="0" collapsed="false">
      <c r="A66" s="29" t="s">
        <v>1978</v>
      </c>
      <c r="B66" s="60" t="s">
        <v>1919</v>
      </c>
      <c r="H66" s="129" t="n">
        <v>706.3</v>
      </c>
      <c r="I66" s="129" t="n">
        <v>589.4</v>
      </c>
      <c r="J66" s="129" t="n">
        <v>444.1</v>
      </c>
      <c r="K66" s="129" t="n">
        <v>305.3</v>
      </c>
      <c r="L66" s="129" t="n">
        <v>175.1</v>
      </c>
    </row>
    <row r="67" customFormat="false" ht="15" hidden="false" customHeight="false" outlineLevel="0" collapsed="false">
      <c r="A67" s="29" t="s">
        <v>1979</v>
      </c>
      <c r="B67" s="60" t="s">
        <v>1921</v>
      </c>
      <c r="C67" s="61" t="n">
        <f aca="false">SUM(E67:P67)</f>
        <v>132168.75</v>
      </c>
      <c r="E67" s="105" t="n">
        <v>0</v>
      </c>
      <c r="F67" s="105" t="n">
        <v>0</v>
      </c>
      <c r="G67" s="105" t="n">
        <v>0</v>
      </c>
      <c r="H67" s="105" t="n">
        <v>26262.5</v>
      </c>
      <c r="I67" s="105" t="n">
        <v>22962.5</v>
      </c>
      <c r="J67" s="105" t="n">
        <v>28541.07</v>
      </c>
      <c r="K67" s="105" t="n">
        <v>29990.18</v>
      </c>
      <c r="L67" s="105" t="n">
        <v>24412.5</v>
      </c>
    </row>
    <row r="68" customFormat="false" ht="15" hidden="false" customHeight="false" outlineLevel="0" collapsed="false">
      <c r="A68" s="29" t="s">
        <v>1980</v>
      </c>
      <c r="B68" s="60" t="s">
        <v>1923</v>
      </c>
      <c r="C68" s="61" t="n">
        <f aca="false">SUM(E68:P68)</f>
        <v>115500</v>
      </c>
      <c r="E68" s="105" t="n">
        <v>0</v>
      </c>
      <c r="F68" s="105" t="n">
        <v>0</v>
      </c>
      <c r="G68" s="105" t="n">
        <v>0</v>
      </c>
      <c r="H68" s="105" t="n">
        <v>49500</v>
      </c>
      <c r="I68" s="105" t="n">
        <v>0</v>
      </c>
      <c r="J68" s="105" t="n">
        <v>0</v>
      </c>
      <c r="K68" s="105" t="n">
        <v>66000</v>
      </c>
      <c r="L68" s="105" t="n">
        <v>0</v>
      </c>
    </row>
    <row r="69" customFormat="false" ht="15" hidden="false" customHeight="false" outlineLevel="0" collapsed="false">
      <c r="A69" s="29" t="s">
        <v>1981</v>
      </c>
      <c r="B69" s="60" t="s">
        <v>1925</v>
      </c>
      <c r="C69" s="61" t="n">
        <f aca="false">SUM(E69:P69)</f>
        <v>7118.02</v>
      </c>
      <c r="E69" s="105" t="n">
        <v>0</v>
      </c>
      <c r="F69" s="105" t="n">
        <v>0</v>
      </c>
      <c r="G69" s="105" t="n">
        <v>0</v>
      </c>
      <c r="H69" s="105" t="n">
        <v>1240.25</v>
      </c>
      <c r="I69" s="105" t="n">
        <v>1114.46</v>
      </c>
      <c r="J69" s="105" t="n">
        <v>1624.64</v>
      </c>
      <c r="K69" s="105" t="n">
        <v>1869.18</v>
      </c>
      <c r="L69" s="105" t="n">
        <v>1269.49</v>
      </c>
    </row>
    <row r="70" customFormat="false" ht="15" hidden="false" customHeight="false" outlineLevel="0" collapsed="false">
      <c r="A70" s="29" t="s">
        <v>1982</v>
      </c>
      <c r="B70" s="60" t="s">
        <v>1917</v>
      </c>
      <c r="C70" s="66" t="n">
        <f aca="false">SUM(E70:P70)</f>
        <v>1709.2</v>
      </c>
      <c r="E70" s="129" t="n">
        <v>0</v>
      </c>
      <c r="F70" s="129" t="n">
        <v>0</v>
      </c>
      <c r="G70" s="129" t="n">
        <v>0</v>
      </c>
      <c r="H70" s="129" t="n">
        <v>0</v>
      </c>
      <c r="I70" s="129" t="n">
        <v>350.1</v>
      </c>
      <c r="J70" s="129" t="n">
        <v>462.3</v>
      </c>
      <c r="K70" s="129" t="n">
        <v>478.5</v>
      </c>
      <c r="L70" s="129" t="n">
        <v>418.3</v>
      </c>
    </row>
    <row r="71" customFormat="false" ht="15" hidden="false" customHeight="false" outlineLevel="0" collapsed="false">
      <c r="A71" s="29" t="s">
        <v>1983</v>
      </c>
      <c r="B71" s="60" t="s">
        <v>1919</v>
      </c>
      <c r="I71" s="129" t="n">
        <v>3343.5</v>
      </c>
      <c r="J71" s="129" t="n">
        <v>2867.8</v>
      </c>
      <c r="K71" s="129" t="n">
        <v>2355.2</v>
      </c>
      <c r="L71" s="129" t="n">
        <v>1955.7</v>
      </c>
    </row>
    <row r="72" customFormat="false" ht="15" hidden="false" customHeight="false" outlineLevel="0" collapsed="false">
      <c r="A72" s="29" t="s">
        <v>1984</v>
      </c>
      <c r="B72" s="60" t="s">
        <v>1921</v>
      </c>
      <c r="C72" s="61" t="n">
        <f aca="false">SUM(E72:P72)</f>
        <v>311168.67</v>
      </c>
      <c r="E72" s="105" t="n">
        <v>0</v>
      </c>
      <c r="F72" s="105" t="n">
        <v>0</v>
      </c>
      <c r="G72" s="105" t="n">
        <v>0</v>
      </c>
      <c r="H72" s="105" t="n">
        <v>0</v>
      </c>
      <c r="I72" s="105" t="n">
        <v>63549.37</v>
      </c>
      <c r="J72" s="105" t="n">
        <v>84859.48</v>
      </c>
      <c r="K72" s="105" t="n">
        <v>87157</v>
      </c>
      <c r="L72" s="105" t="n">
        <v>75602.82</v>
      </c>
    </row>
    <row r="73" customFormat="false" ht="15" hidden="false" customHeight="false" outlineLevel="0" collapsed="false">
      <c r="A73" s="29" t="s">
        <v>1985</v>
      </c>
      <c r="B73" s="60" t="s">
        <v>1923</v>
      </c>
      <c r="C73" s="61" t="n">
        <f aca="false">SUM(E73:P73)</f>
        <v>235565.85</v>
      </c>
      <c r="E73" s="105" t="n">
        <v>0</v>
      </c>
      <c r="F73" s="105" t="n">
        <v>0</v>
      </c>
      <c r="G73" s="105" t="n">
        <v>0</v>
      </c>
      <c r="H73" s="105" t="n">
        <v>0</v>
      </c>
      <c r="I73" s="105" t="n">
        <v>0</v>
      </c>
      <c r="J73" s="105" t="n">
        <v>63549.37</v>
      </c>
      <c r="K73" s="105" t="n">
        <v>84859.48</v>
      </c>
      <c r="L73" s="105" t="n">
        <v>87157</v>
      </c>
    </row>
    <row r="74" customFormat="false" ht="15" hidden="false" customHeight="false" outlineLevel="0" collapsed="false">
      <c r="A74" s="29" t="s">
        <v>1986</v>
      </c>
      <c r="B74" s="60" t="s">
        <v>1925</v>
      </c>
      <c r="C74" s="61" t="n">
        <f aca="false">SUM(E74:P74)</f>
        <v>23555.3</v>
      </c>
      <c r="E74" s="105" t="n">
        <v>0</v>
      </c>
      <c r="F74" s="105" t="n">
        <v>0</v>
      </c>
      <c r="G74" s="105" t="n">
        <v>0</v>
      </c>
      <c r="H74" s="105" t="n">
        <v>0</v>
      </c>
      <c r="I74" s="105" t="n">
        <v>4916.45</v>
      </c>
      <c r="J74" s="105" t="n">
        <v>6841.76</v>
      </c>
      <c r="K74" s="105" t="n">
        <v>7114.82</v>
      </c>
      <c r="L74" s="105" t="n">
        <v>4682.27</v>
      </c>
    </row>
    <row r="75" customFormat="false" ht="15" hidden="false" customHeight="false" outlineLevel="0" collapsed="false">
      <c r="A75" s="29" t="s">
        <v>1987</v>
      </c>
      <c r="B75" s="60" t="s">
        <v>1923</v>
      </c>
      <c r="C75" s="61" t="n">
        <f aca="false">SUM(E75:P75)</f>
        <v>18873.03</v>
      </c>
      <c r="E75" s="105" t="n">
        <v>0</v>
      </c>
      <c r="F75" s="105" t="n">
        <v>0</v>
      </c>
      <c r="G75" s="105" t="n">
        <v>0</v>
      </c>
      <c r="H75" s="105" t="n">
        <v>0</v>
      </c>
      <c r="I75" s="105" t="n">
        <v>0</v>
      </c>
      <c r="J75" s="105" t="n">
        <v>4916.45</v>
      </c>
      <c r="K75" s="105" t="n">
        <v>6841.76</v>
      </c>
      <c r="L75" s="105" t="n">
        <v>7114.82</v>
      </c>
    </row>
    <row r="76" customFormat="false" ht="15" hidden="false" customHeight="false" outlineLevel="0" collapsed="false">
      <c r="A76" s="29" t="s">
        <v>1988</v>
      </c>
      <c r="B76" s="60" t="s">
        <v>1917</v>
      </c>
      <c r="C76" s="66" t="n">
        <f aca="false">SUM(E76:P76)</f>
        <v>440.7</v>
      </c>
      <c r="E76" s="129" t="n">
        <v>0</v>
      </c>
      <c r="F76" s="129" t="n">
        <v>0</v>
      </c>
      <c r="G76" s="129" t="n">
        <v>0</v>
      </c>
      <c r="H76" s="129" t="n">
        <v>0</v>
      </c>
      <c r="I76" s="129" t="n">
        <v>0</v>
      </c>
      <c r="J76" s="129" t="n">
        <v>145.2</v>
      </c>
      <c r="K76" s="129" t="n">
        <v>176.4</v>
      </c>
      <c r="L76" s="129" t="n">
        <v>119.1</v>
      </c>
    </row>
    <row r="77" customFormat="false" ht="15" hidden="false" customHeight="false" outlineLevel="0" collapsed="false">
      <c r="A77" s="29" t="s">
        <v>1989</v>
      </c>
      <c r="B77" s="60" t="s">
        <v>1919</v>
      </c>
      <c r="J77" s="129" t="n">
        <v>764.8</v>
      </c>
      <c r="K77" s="129" t="n">
        <v>588.4</v>
      </c>
      <c r="L77" s="129" t="n">
        <v>469.3</v>
      </c>
    </row>
    <row r="78" customFormat="false" ht="15" hidden="false" customHeight="false" outlineLevel="0" collapsed="false">
      <c r="A78" s="29" t="s">
        <v>1990</v>
      </c>
      <c r="B78" s="60" t="s">
        <v>1921</v>
      </c>
      <c r="C78" s="61" t="n">
        <f aca="false">SUM(E78:P78)</f>
        <v>87171.43</v>
      </c>
      <c r="E78" s="105" t="n">
        <v>0</v>
      </c>
      <c r="F78" s="105" t="n">
        <v>0</v>
      </c>
      <c r="G78" s="105" t="n">
        <v>0</v>
      </c>
      <c r="H78" s="105" t="n">
        <v>0</v>
      </c>
      <c r="I78" s="105" t="n">
        <v>0</v>
      </c>
      <c r="J78" s="105" t="n">
        <v>28720.88</v>
      </c>
      <c r="K78" s="105" t="n">
        <v>34892.31</v>
      </c>
      <c r="L78" s="105" t="n">
        <v>23558.24</v>
      </c>
    </row>
    <row r="79" customFormat="false" ht="15" hidden="false" customHeight="false" outlineLevel="0" collapsed="false">
      <c r="A79" s="29" t="s">
        <v>1991</v>
      </c>
      <c r="B79" s="60" t="s">
        <v>1923</v>
      </c>
      <c r="C79" s="61" t="n">
        <f aca="false">SUM(E79:P79)</f>
        <v>54000</v>
      </c>
      <c r="E79" s="105" t="n">
        <v>0</v>
      </c>
      <c r="F79" s="105" t="n">
        <v>0</v>
      </c>
      <c r="G79" s="105" t="n">
        <v>0</v>
      </c>
      <c r="H79" s="105" t="n">
        <v>0</v>
      </c>
      <c r="I79" s="105" t="n">
        <v>0</v>
      </c>
      <c r="J79" s="105" t="n">
        <v>54000</v>
      </c>
      <c r="K79" s="105" t="n">
        <v>0</v>
      </c>
      <c r="L79" s="105" t="n">
        <v>0</v>
      </c>
    </row>
    <row r="80" customFormat="false" ht="15" hidden="false" customHeight="false" outlineLevel="0" collapsed="false">
      <c r="A80" s="29" t="s">
        <v>1992</v>
      </c>
      <c r="B80" s="60" t="s">
        <v>1925</v>
      </c>
      <c r="C80" s="61" t="n">
        <f aca="false">SUM(E80:P80)</f>
        <v>8634.13</v>
      </c>
      <c r="E80" s="105" t="n">
        <v>0</v>
      </c>
      <c r="F80" s="105" t="n">
        <v>0</v>
      </c>
      <c r="G80" s="105" t="n">
        <v>0</v>
      </c>
      <c r="H80" s="105" t="n">
        <v>0</v>
      </c>
      <c r="I80" s="105" t="n">
        <v>0</v>
      </c>
      <c r="J80" s="105" t="n">
        <v>3066.6</v>
      </c>
      <c r="K80" s="105" t="n">
        <v>3050.99</v>
      </c>
      <c r="L80" s="105" t="n">
        <v>2516.54</v>
      </c>
    </row>
    <row r="81" customFormat="false" ht="15" hidden="false" customHeight="false" outlineLevel="0" collapsed="false">
      <c r="A81" s="29" t="s">
        <v>1993</v>
      </c>
      <c r="B81" s="60" t="s">
        <v>1917</v>
      </c>
      <c r="C81" s="66" t="n">
        <f aca="false">SUM(E81:P81)</f>
        <v>561.3</v>
      </c>
      <c r="E81" s="129" t="n">
        <v>0</v>
      </c>
      <c r="F81" s="129" t="n">
        <v>0</v>
      </c>
      <c r="G81" s="129" t="n">
        <v>0</v>
      </c>
      <c r="H81" s="129" t="n">
        <v>0</v>
      </c>
      <c r="I81" s="129" t="n">
        <v>0</v>
      </c>
      <c r="J81" s="129" t="n">
        <v>0</v>
      </c>
      <c r="K81" s="129" t="n">
        <v>311.7</v>
      </c>
      <c r="L81" s="129" t="n">
        <v>249.6</v>
      </c>
    </row>
    <row r="82" customFormat="false" ht="15" hidden="false" customHeight="false" outlineLevel="0" collapsed="false">
      <c r="A82" s="29" t="s">
        <v>1994</v>
      </c>
      <c r="B82" s="60" t="s">
        <v>1919</v>
      </c>
      <c r="K82" s="129" t="n">
        <v>1988.3</v>
      </c>
      <c r="L82" s="129" t="n">
        <v>1738.7</v>
      </c>
    </row>
    <row r="83" customFormat="false" ht="15" hidden="false" customHeight="false" outlineLevel="0" collapsed="false">
      <c r="A83" s="29" t="s">
        <v>1995</v>
      </c>
      <c r="B83" s="60" t="s">
        <v>1921</v>
      </c>
      <c r="C83" s="61" t="n">
        <f aca="false">SUM(E83:P83)</f>
        <v>102679.17</v>
      </c>
      <c r="E83" s="105" t="n">
        <v>0</v>
      </c>
      <c r="F83" s="105" t="n">
        <v>0</v>
      </c>
      <c r="G83" s="105" t="n">
        <v>0</v>
      </c>
      <c r="H83" s="105" t="n">
        <v>0</v>
      </c>
      <c r="I83" s="105" t="n">
        <v>0</v>
      </c>
      <c r="J83" s="105" t="n">
        <v>0</v>
      </c>
      <c r="K83" s="105" t="n">
        <v>57019.59</v>
      </c>
      <c r="L83" s="105" t="n">
        <v>45659.58</v>
      </c>
    </row>
    <row r="84" customFormat="false" ht="15" hidden="false" customHeight="false" outlineLevel="0" collapsed="false">
      <c r="A84" s="29" t="s">
        <v>1996</v>
      </c>
      <c r="B84" s="60" t="s">
        <v>1923</v>
      </c>
      <c r="C84" s="61" t="n">
        <f aca="false">SUM(E84:P84)</f>
        <v>57019.59</v>
      </c>
      <c r="E84" s="105" t="n">
        <v>0</v>
      </c>
      <c r="F84" s="105" t="n">
        <v>0</v>
      </c>
      <c r="G84" s="105" t="n">
        <v>0</v>
      </c>
      <c r="H84" s="105" t="n">
        <v>0</v>
      </c>
      <c r="I84" s="105" t="n">
        <v>0</v>
      </c>
      <c r="J84" s="105" t="n">
        <v>0</v>
      </c>
      <c r="K84" s="105" t="n">
        <v>0</v>
      </c>
      <c r="L84" s="105" t="n">
        <v>57019.59</v>
      </c>
    </row>
    <row r="85" customFormat="false" ht="15" hidden="false" customHeight="false" outlineLevel="0" collapsed="false">
      <c r="A85" s="29" t="s">
        <v>1997</v>
      </c>
      <c r="B85" s="60" t="s">
        <v>1925</v>
      </c>
      <c r="C85" s="61" t="n">
        <f aca="false">SUM(E85:P85)</f>
        <v>5466.14</v>
      </c>
      <c r="E85" s="105" t="n">
        <v>0</v>
      </c>
      <c r="F85" s="105" t="n">
        <v>0</v>
      </c>
      <c r="G85" s="105" t="n">
        <v>0</v>
      </c>
      <c r="H85" s="105" t="n">
        <v>0</v>
      </c>
      <c r="I85" s="105" t="n">
        <v>0</v>
      </c>
      <c r="J85" s="105" t="n">
        <v>0</v>
      </c>
      <c r="K85" s="105" t="n">
        <v>3099.03</v>
      </c>
      <c r="L85" s="105" t="n">
        <v>2367.11</v>
      </c>
    </row>
    <row r="86" customFormat="false" ht="15" hidden="false" customHeight="false" outlineLevel="0" collapsed="false">
      <c r="A86" s="29" t="s">
        <v>1998</v>
      </c>
      <c r="B86" s="60" t="s">
        <v>1923</v>
      </c>
      <c r="C86" s="61" t="n">
        <f aca="false">SUM(E86:P86)</f>
        <v>3099.03</v>
      </c>
      <c r="E86" s="105" t="n">
        <v>0</v>
      </c>
      <c r="F86" s="105" t="n">
        <v>0</v>
      </c>
      <c r="G86" s="105" t="n">
        <v>0</v>
      </c>
      <c r="H86" s="105" t="n">
        <v>0</v>
      </c>
      <c r="I86" s="105" t="n">
        <v>0</v>
      </c>
      <c r="J86" s="105" t="n">
        <v>0</v>
      </c>
      <c r="K86" s="105" t="n">
        <v>0</v>
      </c>
      <c r="L86" s="105" t="n">
        <v>3099.03</v>
      </c>
    </row>
    <row r="87" customFormat="false" ht="15" hidden="false" customHeight="false" outlineLevel="0" collapsed="false">
      <c r="A87" s="29" t="s">
        <v>1999</v>
      </c>
      <c r="B87" s="60" t="s">
        <v>1917</v>
      </c>
      <c r="C87" s="66" t="n">
        <f aca="false">SUM(E87:P87)</f>
        <v>286.5</v>
      </c>
      <c r="E87" s="129" t="n">
        <v>0</v>
      </c>
      <c r="F87" s="129" t="n">
        <v>0</v>
      </c>
      <c r="G87" s="129" t="n">
        <v>0</v>
      </c>
      <c r="H87" s="129" t="n">
        <v>0</v>
      </c>
      <c r="I87" s="129" t="n">
        <v>0</v>
      </c>
      <c r="J87" s="129" t="n">
        <v>0</v>
      </c>
      <c r="K87" s="129" t="n">
        <v>155.1</v>
      </c>
      <c r="L87" s="129" t="n">
        <v>131.4</v>
      </c>
    </row>
    <row r="88" customFormat="false" ht="15" hidden="false" customHeight="false" outlineLevel="0" collapsed="false">
      <c r="A88" s="29" t="s">
        <v>2000</v>
      </c>
      <c r="B88" s="60" t="s">
        <v>1919</v>
      </c>
      <c r="K88" s="129" t="n">
        <v>284.9</v>
      </c>
      <c r="L88" s="129" t="n">
        <v>183.5</v>
      </c>
    </row>
    <row r="89" customFormat="false" ht="15" hidden="false" customHeight="false" outlineLevel="0" collapsed="false">
      <c r="A89" s="29" t="s">
        <v>2001</v>
      </c>
      <c r="B89" s="60" t="s">
        <v>1921</v>
      </c>
      <c r="C89" s="61" t="n">
        <f aca="false">SUM(E89:P89)</f>
        <v>54861.7</v>
      </c>
      <c r="E89" s="105" t="n">
        <v>0</v>
      </c>
      <c r="F89" s="105" t="n">
        <v>0</v>
      </c>
      <c r="G89" s="105" t="n">
        <v>0</v>
      </c>
      <c r="H89" s="105" t="n">
        <v>0</v>
      </c>
      <c r="I89" s="105" t="n">
        <v>0</v>
      </c>
      <c r="J89" s="105" t="n">
        <v>0</v>
      </c>
      <c r="K89" s="105" t="n">
        <v>31725</v>
      </c>
      <c r="L89" s="105" t="n">
        <v>23136.7</v>
      </c>
    </row>
    <row r="90" customFormat="false" ht="15" hidden="false" customHeight="false" outlineLevel="0" collapsed="false">
      <c r="A90" s="29" t="s">
        <v>2002</v>
      </c>
      <c r="B90" s="60" t="s">
        <v>1923</v>
      </c>
      <c r="C90" s="61" t="n">
        <f aca="false">SUM(E90:P90)</f>
        <v>63000</v>
      </c>
      <c r="E90" s="105" t="n">
        <v>0</v>
      </c>
      <c r="F90" s="105" t="n">
        <v>0</v>
      </c>
      <c r="G90" s="105" t="n">
        <v>0</v>
      </c>
      <c r="H90" s="105" t="n">
        <v>0</v>
      </c>
      <c r="I90" s="105" t="n">
        <v>0</v>
      </c>
      <c r="J90" s="105" t="n">
        <v>0</v>
      </c>
      <c r="K90" s="105" t="n">
        <v>27000</v>
      </c>
      <c r="L90" s="105" t="n">
        <v>36000</v>
      </c>
    </row>
    <row r="91" customFormat="false" ht="15" hidden="false" customHeight="false" outlineLevel="0" collapsed="false">
      <c r="A91" s="29" t="s">
        <v>2003</v>
      </c>
      <c r="B91" s="60" t="s">
        <v>1925</v>
      </c>
      <c r="C91" s="61" t="n">
        <f aca="false">SUM(E91:P91)</f>
        <v>2226.67</v>
      </c>
      <c r="E91" s="105" t="n">
        <v>0</v>
      </c>
      <c r="F91" s="105" t="n">
        <v>0</v>
      </c>
      <c r="G91" s="105" t="n">
        <v>0</v>
      </c>
      <c r="H91" s="105" t="n">
        <v>0</v>
      </c>
      <c r="I91" s="105" t="n">
        <v>0</v>
      </c>
      <c r="J91" s="105" t="n">
        <v>0</v>
      </c>
      <c r="K91" s="105" t="n">
        <v>1071.25</v>
      </c>
      <c r="L91" s="105" t="n">
        <v>1155.42</v>
      </c>
    </row>
    <row r="92" customFormat="false" ht="15" hidden="false" customHeight="false" outlineLevel="0" collapsed="false">
      <c r="A92" s="29" t="s">
        <v>2004</v>
      </c>
      <c r="B92" s="60" t="s">
        <v>1917</v>
      </c>
      <c r="C92" s="66" t="n">
        <f aca="false">SUM(E92:P92)</f>
        <v>138.3</v>
      </c>
      <c r="E92" s="129" t="n">
        <v>0</v>
      </c>
      <c r="F92" s="129" t="n">
        <v>0</v>
      </c>
      <c r="G92" s="129" t="n">
        <v>0</v>
      </c>
      <c r="H92" s="129" t="n">
        <v>0</v>
      </c>
      <c r="I92" s="129" t="n">
        <v>0</v>
      </c>
      <c r="J92" s="129" t="n">
        <v>0</v>
      </c>
      <c r="K92" s="129" t="n">
        <v>0</v>
      </c>
      <c r="L92" s="129" t="n">
        <v>138.3</v>
      </c>
    </row>
    <row r="93" customFormat="false" ht="15" hidden="false" customHeight="false" outlineLevel="0" collapsed="false">
      <c r="A93" s="29" t="s">
        <v>2005</v>
      </c>
      <c r="B93" s="60" t="s">
        <v>1919</v>
      </c>
      <c r="L93" s="129" t="n">
        <v>341.7</v>
      </c>
    </row>
    <row r="94" customFormat="false" ht="15" hidden="false" customHeight="false" outlineLevel="0" collapsed="false">
      <c r="A94" s="29" t="s">
        <v>2006</v>
      </c>
      <c r="B94" s="60" t="s">
        <v>1921</v>
      </c>
      <c r="C94" s="61" t="n">
        <f aca="false">SUM(E94:P94)</f>
        <v>27371.88</v>
      </c>
      <c r="E94" s="105" t="n">
        <v>0</v>
      </c>
      <c r="F94" s="105" t="n">
        <v>0</v>
      </c>
      <c r="G94" s="105" t="n">
        <v>0</v>
      </c>
      <c r="H94" s="105" t="n">
        <v>0</v>
      </c>
      <c r="I94" s="105" t="n">
        <v>0</v>
      </c>
      <c r="J94" s="105" t="n">
        <v>0</v>
      </c>
      <c r="K94" s="105" t="n">
        <v>0</v>
      </c>
      <c r="L94" s="105" t="n">
        <v>27371.88</v>
      </c>
    </row>
    <row r="95" customFormat="false" ht="15" hidden="false" customHeight="false" outlineLevel="0" collapsed="false">
      <c r="A95" s="29" t="s">
        <v>2007</v>
      </c>
      <c r="B95" s="60" t="s">
        <v>1923</v>
      </c>
      <c r="C95" s="61" t="n">
        <f aca="false">SUM(E95:P95)</f>
        <v>28500</v>
      </c>
      <c r="E95" s="105" t="n">
        <v>0</v>
      </c>
      <c r="F95" s="105" t="n">
        <v>0</v>
      </c>
      <c r="G95" s="105" t="n">
        <v>0</v>
      </c>
      <c r="H95" s="105" t="n">
        <v>0</v>
      </c>
      <c r="I95" s="105" t="n">
        <v>0</v>
      </c>
      <c r="J95" s="105" t="n">
        <v>0</v>
      </c>
      <c r="K95" s="105" t="n">
        <v>0</v>
      </c>
      <c r="L95" s="105" t="n">
        <v>28500</v>
      </c>
    </row>
    <row r="96" customFormat="false" ht="15" hidden="false" customHeight="false" outlineLevel="0" collapsed="false">
      <c r="A96" s="29" t="s">
        <v>2008</v>
      </c>
      <c r="B96" s="60" t="s">
        <v>1925</v>
      </c>
      <c r="C96" s="61" t="n">
        <f aca="false">SUM(E96:P96)</f>
        <v>1490.37</v>
      </c>
      <c r="E96" s="105" t="n">
        <v>0</v>
      </c>
      <c r="F96" s="105" t="n">
        <v>0</v>
      </c>
      <c r="G96" s="105" t="n">
        <v>0</v>
      </c>
      <c r="H96" s="105" t="n">
        <v>0</v>
      </c>
      <c r="I96" s="105" t="n">
        <v>0</v>
      </c>
      <c r="J96" s="105" t="n">
        <v>0</v>
      </c>
      <c r="K96" s="105" t="n">
        <v>0</v>
      </c>
      <c r="L96" s="105" t="n">
        <v>1490.37</v>
      </c>
    </row>
    <row r="97" customFormat="false" ht="15" hidden="false" customHeight="false" outlineLevel="0" collapsed="false">
      <c r="A97" s="29" t="s">
        <v>2009</v>
      </c>
      <c r="B97" s="60" t="s">
        <v>1917</v>
      </c>
      <c r="C97" s="66" t="n">
        <f aca="false">SUM(E97:P97)</f>
        <v>2183.2</v>
      </c>
      <c r="E97" s="129" t="n">
        <v>356.3</v>
      </c>
      <c r="F97" s="129" t="n">
        <v>357.4</v>
      </c>
      <c r="G97" s="129" t="n">
        <v>419.2</v>
      </c>
      <c r="H97" s="129" t="n">
        <v>332.9</v>
      </c>
      <c r="I97" s="129" t="n">
        <v>307.5</v>
      </c>
      <c r="J97" s="129" t="n">
        <v>409.9</v>
      </c>
      <c r="K97" s="129" t="n">
        <v>0</v>
      </c>
      <c r="L97" s="129" t="n">
        <v>0</v>
      </c>
    </row>
    <row r="98" customFormat="false" ht="15" hidden="false" customHeight="false" outlineLevel="0" collapsed="false">
      <c r="A98" s="29" t="s">
        <v>2010</v>
      </c>
      <c r="B98" s="60" t="s">
        <v>1919</v>
      </c>
      <c r="E98" s="129" t="n">
        <v>1821.8</v>
      </c>
      <c r="F98" s="129" t="n">
        <v>1463.5</v>
      </c>
      <c r="G98" s="129" t="n">
        <v>1057.5</v>
      </c>
      <c r="H98" s="129" t="n">
        <v>699.2</v>
      </c>
      <c r="I98" s="129" t="n">
        <v>393</v>
      </c>
      <c r="J98" s="129" t="n">
        <v>0</v>
      </c>
      <c r="K98" s="129" t="n">
        <v>0</v>
      </c>
      <c r="L98" s="129" t="n">
        <v>0</v>
      </c>
    </row>
    <row r="99" customFormat="false" ht="15" hidden="false" customHeight="false" outlineLevel="0" collapsed="false">
      <c r="A99" s="29" t="s">
        <v>2011</v>
      </c>
      <c r="B99" s="60" t="s">
        <v>1921</v>
      </c>
      <c r="C99" s="61" t="n">
        <f aca="false">SUM(E99:P99)</f>
        <v>393059.74</v>
      </c>
      <c r="E99" s="105" t="n">
        <v>65007.64</v>
      </c>
      <c r="F99" s="105" t="n">
        <v>63221.56</v>
      </c>
      <c r="G99" s="105" t="n">
        <v>75138.31</v>
      </c>
      <c r="H99" s="105" t="n">
        <v>60479.27</v>
      </c>
      <c r="I99" s="105" t="n">
        <v>55924.92</v>
      </c>
      <c r="J99" s="105" t="n">
        <v>73288.04</v>
      </c>
      <c r="K99" s="105" t="n">
        <v>0</v>
      </c>
      <c r="L99" s="105" t="n">
        <v>0</v>
      </c>
    </row>
    <row r="100" customFormat="false" ht="15" hidden="false" customHeight="false" outlineLevel="0" collapsed="false">
      <c r="A100" s="29" t="s">
        <v>2012</v>
      </c>
      <c r="B100" s="60" t="s">
        <v>1923</v>
      </c>
      <c r="C100" s="61" t="n">
        <f aca="false">SUM(E100:P100)</f>
        <v>393059.74</v>
      </c>
      <c r="E100" s="105" t="n">
        <v>0</v>
      </c>
      <c r="F100" s="105" t="n">
        <v>65007.64</v>
      </c>
      <c r="G100" s="105" t="n">
        <v>63221.56</v>
      </c>
      <c r="H100" s="105" t="n">
        <v>75138.31</v>
      </c>
      <c r="I100" s="105" t="n">
        <v>60479.27</v>
      </c>
      <c r="J100" s="105" t="n">
        <v>55924.92</v>
      </c>
      <c r="K100" s="105" t="n">
        <v>73288.04</v>
      </c>
      <c r="L100" s="105" t="n">
        <v>0</v>
      </c>
    </row>
    <row r="101" customFormat="false" ht="15" hidden="false" customHeight="false" outlineLevel="0" collapsed="false">
      <c r="A101" s="29" t="s">
        <v>2013</v>
      </c>
      <c r="B101" s="60" t="s">
        <v>1925</v>
      </c>
      <c r="C101" s="61" t="n">
        <f aca="false">SUM(E101:P101)</f>
        <v>26266.39</v>
      </c>
      <c r="E101" s="105" t="n">
        <v>4394.13</v>
      </c>
      <c r="F101" s="105" t="n">
        <v>4403.39</v>
      </c>
      <c r="G101" s="105" t="n">
        <v>5031.14</v>
      </c>
      <c r="H101" s="105" t="n">
        <v>3602.11</v>
      </c>
      <c r="I101" s="105" t="n">
        <v>3669.61</v>
      </c>
      <c r="J101" s="105" t="n">
        <v>5166.01</v>
      </c>
      <c r="K101" s="105" t="n">
        <v>0</v>
      </c>
      <c r="L101" s="105" t="n">
        <v>0</v>
      </c>
    </row>
    <row r="102" customFormat="false" ht="15" hidden="false" customHeight="false" outlineLevel="0" collapsed="false">
      <c r="A102" s="29" t="s">
        <v>2014</v>
      </c>
      <c r="B102" s="60" t="s">
        <v>1923</v>
      </c>
      <c r="C102" s="61" t="n">
        <f aca="false">SUM(E102:P102)</f>
        <v>26266.39</v>
      </c>
      <c r="E102" s="105" t="n">
        <v>0</v>
      </c>
      <c r="F102" s="105" t="n">
        <v>4394.13</v>
      </c>
      <c r="G102" s="105" t="n">
        <v>4403.39</v>
      </c>
      <c r="H102" s="105" t="n">
        <v>5031.14</v>
      </c>
      <c r="I102" s="105" t="n">
        <v>3602.11</v>
      </c>
      <c r="J102" s="105" t="n">
        <v>3669.61</v>
      </c>
      <c r="K102" s="105" t="n">
        <v>5166.01</v>
      </c>
      <c r="L102" s="105" t="n">
        <v>0</v>
      </c>
    </row>
    <row r="103" customFormat="false" ht="15" hidden="false" customHeight="false" outlineLevel="0" collapsed="false">
      <c r="A103" s="23" t="s">
        <v>2015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row>
    <row r="104" customFormat="false" ht="15" hidden="false" customHeight="false" outlineLevel="0" collapsed="false">
      <c r="A104" s="29" t="s">
        <v>2016</v>
      </c>
      <c r="B104" s="60" t="s">
        <v>2017</v>
      </c>
      <c r="C104" s="61" t="n">
        <f aca="false">SUM(E104:P104)</f>
        <v>1280557.21</v>
      </c>
      <c r="E104" s="105" t="n">
        <v>183500.54</v>
      </c>
      <c r="F104" s="105" t="n">
        <v>201642.93</v>
      </c>
      <c r="G104" s="105" t="n">
        <v>130135.16</v>
      </c>
      <c r="H104" s="105" t="n">
        <v>161375.56</v>
      </c>
      <c r="I104" s="105" t="n">
        <v>164694.68</v>
      </c>
      <c r="J104" s="105" t="n">
        <v>134511</v>
      </c>
      <c r="K104" s="105" t="n">
        <v>151678.17</v>
      </c>
      <c r="L104" s="105" t="n">
        <v>153019.17</v>
      </c>
    </row>
    <row r="105" customFormat="false" ht="15" hidden="false" customHeight="false" outlineLevel="0" collapsed="false">
      <c r="A105" s="29" t="s">
        <v>2018</v>
      </c>
      <c r="B105" s="60" t="s">
        <v>2017</v>
      </c>
      <c r="C105" s="61" t="n">
        <f aca="false">SUM(E105:P105)</f>
        <v>603741.33</v>
      </c>
      <c r="E105" s="105" t="n">
        <v>133442.12</v>
      </c>
      <c r="F105" s="105" t="n">
        <v>87793</v>
      </c>
      <c r="G105" s="105" t="n">
        <v>66543.84</v>
      </c>
      <c r="H105" s="105" t="n">
        <v>44069.06</v>
      </c>
      <c r="I105" s="105" t="n">
        <v>67936.82</v>
      </c>
      <c r="J105" s="105" t="n">
        <v>68104.42</v>
      </c>
      <c r="K105" s="105" t="n">
        <v>77991.26</v>
      </c>
      <c r="L105" s="105" t="n">
        <v>57860.81</v>
      </c>
    </row>
    <row r="106" customFormat="false" ht="15" hidden="false" customHeight="false" outlineLevel="0" collapsed="false">
      <c r="A106" s="29" t="s">
        <v>2019</v>
      </c>
      <c r="B106" s="60" t="s">
        <v>2017</v>
      </c>
      <c r="C106" s="61" t="n">
        <f aca="false">SUM(E106:P106)</f>
        <v>962320.45</v>
      </c>
      <c r="E106" s="105" t="n">
        <v>152797.13</v>
      </c>
      <c r="F106" s="105" t="n">
        <v>121284.36</v>
      </c>
      <c r="G106" s="105" t="n">
        <v>111025.85</v>
      </c>
      <c r="H106" s="105" t="n">
        <v>118671.81</v>
      </c>
      <c r="I106" s="105" t="n">
        <v>107807.15</v>
      </c>
      <c r="J106" s="105" t="n">
        <v>121274.69</v>
      </c>
      <c r="K106" s="105" t="n">
        <v>82190.7</v>
      </c>
      <c r="L106" s="105" t="n">
        <v>147268.76</v>
      </c>
    </row>
    <row r="107" customFormat="false" ht="15" hidden="false" customHeight="false" outlineLevel="0" collapsed="false">
      <c r="A107" s="29" t="s">
        <v>2020</v>
      </c>
      <c r="B107" s="60" t="s">
        <v>2017</v>
      </c>
      <c r="C107" s="61" t="n">
        <f aca="false">SUM(E107:P107)</f>
        <v>332124.26</v>
      </c>
      <c r="E107" s="105" t="n">
        <v>90554.26</v>
      </c>
      <c r="F107" s="105" t="n">
        <v>3797.31</v>
      </c>
      <c r="G107" s="105" t="n">
        <v>134242.69</v>
      </c>
      <c r="H107" s="105" t="n">
        <v>0</v>
      </c>
      <c r="I107" s="105" t="n">
        <v>-2185.14</v>
      </c>
      <c r="J107" s="105" t="n">
        <v>105715.14</v>
      </c>
      <c r="K107" s="105" t="n">
        <v>0</v>
      </c>
      <c r="L107" s="105" t="n">
        <v>0</v>
      </c>
    </row>
    <row r="108" customFormat="false" ht="15" hidden="false" customHeight="false" outlineLevel="0" collapsed="false">
      <c r="A108" s="29" t="s">
        <v>2021</v>
      </c>
      <c r="B108" s="60" t="s">
        <v>2017</v>
      </c>
      <c r="C108" s="61" t="n">
        <f aca="false">SUM(E108:P108)</f>
        <v>308933.94</v>
      </c>
      <c r="E108" s="105" t="n">
        <v>38306.61</v>
      </c>
      <c r="F108" s="105" t="n">
        <v>56722.49</v>
      </c>
      <c r="G108" s="105" t="n">
        <v>-14613.55</v>
      </c>
      <c r="H108" s="105" t="n">
        <v>132423.55</v>
      </c>
      <c r="I108" s="105" t="n">
        <v>0</v>
      </c>
      <c r="J108" s="105" t="n">
        <v>9373.32</v>
      </c>
      <c r="K108" s="105" t="n">
        <v>90586.68</v>
      </c>
      <c r="L108" s="105" t="n">
        <v>-3865.16</v>
      </c>
    </row>
    <row r="109" customFormat="false" ht="15" hidden="false" customHeight="false" outlineLevel="0" collapsed="false">
      <c r="A109" s="29" t="s">
        <v>2022</v>
      </c>
      <c r="B109" s="60" t="s">
        <v>2017</v>
      </c>
      <c r="C109" s="61" t="n">
        <f aca="false">SUM(E109:P109)</f>
        <v>147195.83</v>
      </c>
      <c r="E109" s="105" t="n">
        <v>0</v>
      </c>
      <c r="F109" s="105" t="n">
        <v>0</v>
      </c>
      <c r="G109" s="105" t="n">
        <v>0</v>
      </c>
      <c r="H109" s="105" t="n">
        <v>0</v>
      </c>
      <c r="I109" s="105" t="n">
        <v>0</v>
      </c>
      <c r="J109" s="105" t="n">
        <v>-221.52</v>
      </c>
      <c r="K109" s="105" t="n">
        <v>47192.74</v>
      </c>
      <c r="L109" s="105" t="n">
        <v>100224.61</v>
      </c>
    </row>
    <row r="110" customFormat="false" ht="15" hidden="false" customHeight="false" outlineLevel="0" collapsed="false">
      <c r="A110" s="29" t="s">
        <v>2023</v>
      </c>
      <c r="B110" s="60" t="s">
        <v>2017</v>
      </c>
      <c r="C110" s="61" t="n">
        <f aca="false">SUM(E110:P110)</f>
        <v>385759.21</v>
      </c>
      <c r="E110" s="105" t="n">
        <v>69442.15</v>
      </c>
      <c r="F110" s="105" t="n">
        <v>82959.32</v>
      </c>
      <c r="G110" s="105" t="n">
        <v>0</v>
      </c>
      <c r="H110" s="105" t="n">
        <v>-1365.93</v>
      </c>
      <c r="I110" s="105" t="n">
        <v>115605.93</v>
      </c>
      <c r="J110" s="105" t="n">
        <v>-3068.17</v>
      </c>
      <c r="K110" s="105" t="n">
        <v>88880.68</v>
      </c>
      <c r="L110" s="105" t="n">
        <v>33305.23</v>
      </c>
    </row>
    <row r="111" customFormat="false" ht="15" hidden="false" customHeight="false" outlineLevel="0" collapsed="false">
      <c r="A111" s="29" t="s">
        <v>2024</v>
      </c>
      <c r="B111" s="60" t="s">
        <v>2017</v>
      </c>
      <c r="C111" s="61" t="n">
        <f aca="false">SUM(E111:P111)</f>
        <v>329396.26</v>
      </c>
      <c r="E111" s="105" t="n">
        <v>64094.13</v>
      </c>
      <c r="F111" s="105" t="n">
        <v>34097.52</v>
      </c>
      <c r="G111" s="105" t="n">
        <v>0</v>
      </c>
      <c r="H111" s="105" t="n">
        <v>-5148.14</v>
      </c>
      <c r="I111" s="105" t="n">
        <v>50772.77</v>
      </c>
      <c r="J111" s="105" t="n">
        <v>70259</v>
      </c>
      <c r="K111" s="105" t="n">
        <v>25541.25</v>
      </c>
      <c r="L111" s="105" t="n">
        <v>89779.73</v>
      </c>
    </row>
    <row r="112" customFormat="false" ht="15" hidden="false" customHeight="false" outlineLevel="0" collapsed="false">
      <c r="A112" s="29" t="s">
        <v>2025</v>
      </c>
      <c r="B112" s="60" t="s">
        <v>2017</v>
      </c>
      <c r="C112" s="61" t="n">
        <f aca="false">SUM(E112:P112)</f>
        <v>498998.1</v>
      </c>
      <c r="E112" s="105" t="n">
        <v>0</v>
      </c>
      <c r="F112" s="105" t="n">
        <v>119.79</v>
      </c>
      <c r="G112" s="105" t="n">
        <v>89154.11</v>
      </c>
      <c r="H112" s="105" t="n">
        <v>72598.56</v>
      </c>
      <c r="I112" s="105" t="n">
        <v>102675.64</v>
      </c>
      <c r="J112" s="105" t="n">
        <v>69279.44</v>
      </c>
      <c r="K112" s="105" t="n">
        <v>67829.61</v>
      </c>
      <c r="L112" s="105" t="n">
        <v>97340.95</v>
      </c>
    </row>
    <row r="113" customFormat="false" ht="15" hidden="false" customHeight="false" outlineLevel="0" collapsed="false">
      <c r="A113" s="29" t="s">
        <v>2026</v>
      </c>
      <c r="B113" s="60" t="s">
        <v>2017</v>
      </c>
      <c r="C113" s="61" t="n">
        <f aca="false">SUM(E113:P113)</f>
        <v>134592.59</v>
      </c>
      <c r="E113" s="105" t="n">
        <v>4076.59</v>
      </c>
      <c r="F113" s="105" t="n">
        <v>17472.59</v>
      </c>
      <c r="G113" s="105" t="n">
        <v>39007.52</v>
      </c>
      <c r="H113" s="105" t="n">
        <v>41289.15</v>
      </c>
      <c r="I113" s="105" t="n">
        <v>32746.74</v>
      </c>
      <c r="J113" s="105" t="n">
        <v>0</v>
      </c>
      <c r="K113" s="105" t="n">
        <v>0</v>
      </c>
      <c r="L113" s="105" t="n">
        <v>0</v>
      </c>
    </row>
    <row r="114" customFormat="false" ht="15" hidden="false" customHeight="false" outlineLevel="0" collapsed="false">
      <c r="A114" s="29" t="s">
        <v>2027</v>
      </c>
      <c r="B114" s="60" t="s">
        <v>2017</v>
      </c>
      <c r="C114" s="61" t="n">
        <f aca="false">SUM(E114:P114)</f>
        <v>54000</v>
      </c>
      <c r="E114" s="105" t="n">
        <v>0</v>
      </c>
      <c r="F114" s="105" t="n">
        <v>0</v>
      </c>
      <c r="G114" s="105" t="n">
        <v>0</v>
      </c>
      <c r="H114" s="105" t="n">
        <v>0</v>
      </c>
      <c r="I114" s="105" t="n">
        <v>0</v>
      </c>
      <c r="J114" s="105" t="n">
        <v>795.29</v>
      </c>
      <c r="K114" s="105" t="n">
        <v>53204.71</v>
      </c>
      <c r="L114" s="105" t="n">
        <v>0</v>
      </c>
    </row>
    <row r="115" customFormat="false" ht="15" hidden="false" customHeight="false" outlineLevel="0" collapsed="false">
      <c r="A115" s="29" t="s">
        <v>2028</v>
      </c>
      <c r="B115" s="60" t="s">
        <v>2017</v>
      </c>
      <c r="C115" s="61" t="n">
        <f aca="false">SUM(E115:P115)</f>
        <v>311525.73</v>
      </c>
      <c r="E115" s="105" t="n">
        <v>0</v>
      </c>
      <c r="F115" s="105" t="n">
        <v>0</v>
      </c>
      <c r="G115" s="105" t="n">
        <v>2465.4</v>
      </c>
      <c r="H115" s="105" t="n">
        <v>60162.51</v>
      </c>
      <c r="I115" s="105" t="n">
        <v>64736.71</v>
      </c>
      <c r="J115" s="105" t="n">
        <v>65875.04</v>
      </c>
      <c r="K115" s="105" t="n">
        <v>54028.69</v>
      </c>
      <c r="L115" s="105" t="n">
        <v>64257.38</v>
      </c>
    </row>
    <row r="116" customFormat="false" ht="15" hidden="false" customHeight="false" outlineLevel="0" collapsed="false">
      <c r="A116" s="29" t="s">
        <v>2029</v>
      </c>
      <c r="B116" s="60" t="s">
        <v>2030</v>
      </c>
      <c r="C116" s="61" t="n">
        <f aca="false">SUM(E116:P116)</f>
        <v>23376.93</v>
      </c>
      <c r="E116" s="105" t="n">
        <v>0</v>
      </c>
      <c r="F116" s="105" t="n">
        <v>0</v>
      </c>
      <c r="G116" s="105" t="n">
        <v>0</v>
      </c>
      <c r="H116" s="105" t="n">
        <v>0</v>
      </c>
      <c r="I116" s="105" t="n">
        <v>0</v>
      </c>
      <c r="J116" s="105" t="n">
        <v>0</v>
      </c>
      <c r="K116" s="105" t="n">
        <v>23376.93</v>
      </c>
      <c r="L116" s="105" t="n">
        <v>0</v>
      </c>
    </row>
    <row r="117" customFormat="false" ht="15" hidden="false" customHeight="false" outlineLevel="0" collapsed="false">
      <c r="A117" s="29" t="s">
        <v>1306</v>
      </c>
      <c r="B117" s="60" t="s">
        <v>1921</v>
      </c>
      <c r="C117" s="61" t="n">
        <f aca="false">SUM(E117:P117)</f>
        <v>116884.65</v>
      </c>
      <c r="E117" s="105" t="n">
        <v>0</v>
      </c>
      <c r="F117" s="105" t="n">
        <v>0</v>
      </c>
      <c r="G117" s="105" t="n">
        <v>0</v>
      </c>
      <c r="H117" s="105" t="n">
        <v>0</v>
      </c>
      <c r="I117" s="105" t="n">
        <v>0</v>
      </c>
      <c r="J117" s="105" t="n">
        <v>0</v>
      </c>
      <c r="K117" s="105" t="n">
        <v>116884.65</v>
      </c>
      <c r="L117" s="105" t="n">
        <v>0</v>
      </c>
    </row>
    <row r="118" customFormat="false" ht="15" hidden="false" customHeight="false" outlineLevel="0" collapsed="false">
      <c r="A118" s="23" t="s">
        <v>2031</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row>
    <row r="119" customFormat="false" ht="15" hidden="false" customHeight="false" outlineLevel="0" collapsed="false">
      <c r="A119" s="29" t="s">
        <v>2032</v>
      </c>
      <c r="B119" s="60" t="s">
        <v>2033</v>
      </c>
      <c r="C119" s="61" t="n">
        <f aca="false">AVERAGE(E119:P119)</f>
        <v>1</v>
      </c>
      <c r="E119" s="105" t="n">
        <v>1</v>
      </c>
      <c r="F119" s="105" t="n">
        <v>1</v>
      </c>
      <c r="G119" s="105" t="n">
        <v>1</v>
      </c>
      <c r="H119" s="105" t="n">
        <v>1</v>
      </c>
      <c r="I119" s="105" t="n">
        <v>1</v>
      </c>
      <c r="J119" s="105" t="n">
        <v>1</v>
      </c>
      <c r="K119" s="105" t="n">
        <v>1</v>
      </c>
      <c r="L119" s="105" t="n">
        <v>1</v>
      </c>
    </row>
    <row r="120" customFormat="false" ht="15" hidden="false" customHeight="false" outlineLevel="0" collapsed="false">
      <c r="A120" s="29" t="s">
        <v>2034</v>
      </c>
      <c r="B120" s="60" t="s">
        <v>2033</v>
      </c>
      <c r="C120" s="61" t="n">
        <f aca="false">AVERAGE(E120:P120)</f>
        <v>1</v>
      </c>
      <c r="E120" s="105" t="n">
        <v>1</v>
      </c>
      <c r="F120" s="105" t="n">
        <v>1</v>
      </c>
      <c r="G120" s="105" t="n">
        <v>1</v>
      </c>
      <c r="H120" s="105" t="n">
        <v>1</v>
      </c>
      <c r="I120" s="105" t="n">
        <v>1</v>
      </c>
      <c r="J120" s="105" t="n">
        <v>1</v>
      </c>
      <c r="K120" s="105" t="n">
        <v>1</v>
      </c>
      <c r="L120" s="105" t="n">
        <v>1</v>
      </c>
    </row>
    <row r="121" customFormat="false" ht="15" hidden="false" customHeight="false" outlineLevel="0" collapsed="false">
      <c r="A121" s="29" t="s">
        <v>2035</v>
      </c>
      <c r="B121" s="60" t="s">
        <v>2033</v>
      </c>
      <c r="C121" s="61" t="n">
        <f aca="false">AVERAGE(E121:P121)</f>
        <v>3</v>
      </c>
      <c r="E121" s="105" t="n">
        <v>3</v>
      </c>
      <c r="F121" s="105" t="n">
        <v>3</v>
      </c>
      <c r="G121" s="105" t="n">
        <v>3</v>
      </c>
      <c r="H121" s="105" t="n">
        <v>3</v>
      </c>
      <c r="I121" s="105" t="n">
        <v>3</v>
      </c>
      <c r="J121" s="105" t="n">
        <v>3</v>
      </c>
      <c r="K121" s="105" t="n">
        <v>3</v>
      </c>
      <c r="L121" s="105" t="n">
        <v>3</v>
      </c>
    </row>
    <row r="122" customFormat="false" ht="15" hidden="false" customHeight="false" outlineLevel="0" collapsed="false">
      <c r="A122" s="29" t="s">
        <v>2036</v>
      </c>
      <c r="B122" s="60" t="s">
        <v>2033</v>
      </c>
      <c r="C122" s="61" t="n">
        <f aca="false">AVERAGE(E122:P122)</f>
        <v>3.625</v>
      </c>
      <c r="E122" s="105" t="n">
        <v>4</v>
      </c>
      <c r="F122" s="105" t="n">
        <v>4</v>
      </c>
      <c r="G122" s="105" t="n">
        <v>4</v>
      </c>
      <c r="H122" s="105" t="n">
        <v>3</v>
      </c>
      <c r="I122" s="105" t="n">
        <v>3</v>
      </c>
      <c r="J122" s="105" t="n">
        <v>3</v>
      </c>
      <c r="K122" s="105" t="n">
        <v>4</v>
      </c>
      <c r="L122" s="105" t="n">
        <v>4</v>
      </c>
    </row>
    <row r="123" customFormat="false" ht="15" hidden="false" customHeight="false" outlineLevel="0" collapsed="false">
      <c r="A123" s="29" t="s">
        <v>2037</v>
      </c>
      <c r="B123" s="60" t="s">
        <v>2033</v>
      </c>
      <c r="C123" s="61" t="n">
        <f aca="false">AVERAGE(E123:P123)</f>
        <v>4</v>
      </c>
      <c r="E123" s="105" t="n">
        <v>4</v>
      </c>
      <c r="F123" s="105" t="n">
        <v>4</v>
      </c>
      <c r="G123" s="105" t="n">
        <v>4</v>
      </c>
      <c r="H123" s="105" t="n">
        <v>4</v>
      </c>
      <c r="I123" s="105" t="n">
        <v>4</v>
      </c>
      <c r="J123" s="105" t="n">
        <v>4</v>
      </c>
      <c r="K123" s="105" t="n">
        <v>4</v>
      </c>
      <c r="L123" s="105" t="n">
        <v>4</v>
      </c>
    </row>
    <row r="124" customFormat="false" ht="15" hidden="false" customHeight="false" outlineLevel="0" collapsed="false">
      <c r="A124" s="29" t="s">
        <v>2038</v>
      </c>
      <c r="B124" s="60" t="s">
        <v>2033</v>
      </c>
      <c r="C124" s="61" t="n">
        <f aca="false">AVERAGE(E124:P124)</f>
        <v>1</v>
      </c>
      <c r="E124" s="105" t="n">
        <v>1</v>
      </c>
      <c r="F124" s="105" t="n">
        <v>1</v>
      </c>
      <c r="G124" s="105" t="n">
        <v>1</v>
      </c>
      <c r="H124" s="105" t="n">
        <v>1</v>
      </c>
      <c r="I124" s="105" t="n">
        <v>1</v>
      </c>
      <c r="J124" s="105" t="n">
        <v>1</v>
      </c>
      <c r="K124" s="105" t="n">
        <v>1</v>
      </c>
      <c r="L124" s="105" t="n">
        <v>1</v>
      </c>
    </row>
    <row r="125" customFormat="false" ht="15" hidden="false" customHeight="false" outlineLevel="0" collapsed="false">
      <c r="A125" s="29" t="s">
        <v>2039</v>
      </c>
      <c r="B125" s="60" t="s">
        <v>2033</v>
      </c>
      <c r="C125" s="61" t="n">
        <f aca="false">AVERAGE(E125:P125)</f>
        <v>1</v>
      </c>
      <c r="E125" s="105" t="n">
        <v>1</v>
      </c>
      <c r="F125" s="105" t="n">
        <v>1</v>
      </c>
      <c r="G125" s="105" t="n">
        <v>1</v>
      </c>
      <c r="H125" s="105" t="n">
        <v>1</v>
      </c>
      <c r="I125" s="105" t="n">
        <v>1</v>
      </c>
      <c r="J125" s="105" t="n">
        <v>1</v>
      </c>
      <c r="K125" s="105" t="n">
        <v>1</v>
      </c>
      <c r="L125" s="105" t="n">
        <v>1</v>
      </c>
    </row>
    <row r="126" customFormat="false" ht="15" hidden="false" customHeight="false" outlineLevel="0" collapsed="false">
      <c r="A126" s="29" t="s">
        <v>2040</v>
      </c>
      <c r="B126" s="60" t="s">
        <v>2033</v>
      </c>
      <c r="C126" s="61" t="n">
        <f aca="false">AVERAGE(E126:P126)</f>
        <v>1.875</v>
      </c>
      <c r="E126" s="105" t="n">
        <v>1</v>
      </c>
      <c r="F126" s="105" t="n">
        <v>2</v>
      </c>
      <c r="G126" s="105" t="n">
        <v>2</v>
      </c>
      <c r="H126" s="105" t="n">
        <v>2</v>
      </c>
      <c r="I126" s="105" t="n">
        <v>2</v>
      </c>
      <c r="J126" s="105" t="n">
        <v>2</v>
      </c>
      <c r="K126" s="105" t="n">
        <v>2</v>
      </c>
      <c r="L126" s="105" t="n">
        <v>2</v>
      </c>
    </row>
    <row r="127" customFormat="false" ht="15" hidden="false" customHeight="false" outlineLevel="0" collapsed="false">
      <c r="A127" s="29" t="s">
        <v>2041</v>
      </c>
      <c r="B127" s="60" t="s">
        <v>2033</v>
      </c>
      <c r="C127" s="61" t="n">
        <f aca="false">AVERAGE(E127:P127)</f>
        <v>3</v>
      </c>
      <c r="E127" s="105" t="n">
        <v>3</v>
      </c>
      <c r="F127" s="105" t="n">
        <v>3</v>
      </c>
      <c r="G127" s="105" t="n">
        <v>3</v>
      </c>
      <c r="H127" s="105" t="n">
        <v>3</v>
      </c>
      <c r="I127" s="105" t="n">
        <v>3</v>
      </c>
      <c r="J127" s="105" t="n">
        <v>3</v>
      </c>
      <c r="K127" s="105" t="n">
        <v>3</v>
      </c>
      <c r="L127" s="105" t="n">
        <v>3</v>
      </c>
    </row>
    <row r="128" customFormat="false" ht="15" hidden="false" customHeight="false" outlineLevel="0" collapsed="false">
      <c r="A128" s="29" t="s">
        <v>2042</v>
      </c>
      <c r="B128" s="60" t="s">
        <v>2033</v>
      </c>
      <c r="C128" s="61" t="n">
        <f aca="false">AVERAGE(E128:P128)</f>
        <v>2.75</v>
      </c>
      <c r="E128" s="105" t="n">
        <v>2</v>
      </c>
      <c r="F128" s="105" t="n">
        <v>2</v>
      </c>
      <c r="G128" s="105" t="n">
        <v>3</v>
      </c>
      <c r="H128" s="105" t="n">
        <v>3</v>
      </c>
      <c r="I128" s="105" t="n">
        <v>3</v>
      </c>
      <c r="J128" s="105" t="n">
        <v>3</v>
      </c>
      <c r="K128" s="105" t="n">
        <v>3</v>
      </c>
      <c r="L128" s="105" t="n">
        <v>3</v>
      </c>
    </row>
    <row r="129" customFormat="false" ht="15" hidden="false" customHeight="false" outlineLevel="0" collapsed="false">
      <c r="A129" s="29" t="s">
        <v>2043</v>
      </c>
      <c r="B129" s="60" t="s">
        <v>2033</v>
      </c>
      <c r="C129" s="61" t="n">
        <f aca="false">AVERAGE(E129:P129)</f>
        <v>1</v>
      </c>
      <c r="E129" s="105" t="n">
        <v>1</v>
      </c>
      <c r="F129" s="105" t="n">
        <v>1</v>
      </c>
      <c r="G129" s="105" t="n">
        <v>1</v>
      </c>
      <c r="H129" s="105" t="n">
        <v>1</v>
      </c>
      <c r="I129" s="105" t="n">
        <v>1</v>
      </c>
      <c r="J129" s="105" t="n">
        <v>1</v>
      </c>
      <c r="K129" s="105" t="n">
        <v>1</v>
      </c>
      <c r="L129" s="105" t="n">
        <v>1</v>
      </c>
    </row>
    <row r="130" customFormat="false" ht="15" hidden="false" customHeight="false" outlineLevel="0" collapsed="false">
      <c r="A130" s="29" t="s">
        <v>2044</v>
      </c>
      <c r="B130" s="60" t="s">
        <v>2033</v>
      </c>
      <c r="C130" s="61" t="n">
        <f aca="false">AVERAGE(E130:P130)</f>
        <v>1</v>
      </c>
      <c r="E130" s="105" t="n">
        <v>1</v>
      </c>
      <c r="F130" s="105" t="n">
        <v>1</v>
      </c>
      <c r="G130" s="105" t="n">
        <v>1</v>
      </c>
      <c r="H130" s="105" t="n">
        <v>1</v>
      </c>
      <c r="I130" s="105" t="n">
        <v>1</v>
      </c>
      <c r="J130" s="105" t="n">
        <v>1</v>
      </c>
      <c r="K130" s="105" t="n">
        <v>1</v>
      </c>
      <c r="L130" s="105" t="n">
        <v>1</v>
      </c>
    </row>
    <row r="131" customFormat="false" ht="15" hidden="false" customHeight="false" outlineLevel="0" collapsed="false">
      <c r="A131" s="29" t="s">
        <v>2045</v>
      </c>
      <c r="B131" s="60" t="s">
        <v>2033</v>
      </c>
      <c r="C131" s="61" t="n">
        <f aca="false">AVERAGE(E131:P131)</f>
        <v>2</v>
      </c>
      <c r="E131" s="105" t="n">
        <v>2</v>
      </c>
      <c r="F131" s="105" t="n">
        <v>2</v>
      </c>
      <c r="G131" s="105" t="n">
        <v>2</v>
      </c>
      <c r="H131" s="105" t="n">
        <v>2</v>
      </c>
      <c r="I131" s="105" t="n">
        <v>2</v>
      </c>
      <c r="J131" s="105" t="n">
        <v>2</v>
      </c>
      <c r="K131" s="105" t="n">
        <v>2</v>
      </c>
      <c r="L131" s="105" t="n">
        <v>2</v>
      </c>
    </row>
    <row r="132" customFormat="false" ht="15" hidden="false" customHeight="false" outlineLevel="0" collapsed="false">
      <c r="A132" s="29" t="s">
        <v>2046</v>
      </c>
      <c r="B132" s="60" t="s">
        <v>2033</v>
      </c>
      <c r="C132" s="61" t="n">
        <f aca="false">AVERAGE(E132:P132)</f>
        <v>2.75</v>
      </c>
      <c r="E132" s="105" t="n">
        <v>3</v>
      </c>
      <c r="F132" s="105" t="n">
        <v>3</v>
      </c>
      <c r="G132" s="105" t="n">
        <v>3</v>
      </c>
      <c r="H132" s="105" t="n">
        <v>3</v>
      </c>
      <c r="I132" s="105" t="n">
        <v>3</v>
      </c>
      <c r="J132" s="105" t="n">
        <v>3</v>
      </c>
      <c r="K132" s="105" t="n">
        <v>2</v>
      </c>
      <c r="L132" s="105" t="n">
        <v>2</v>
      </c>
    </row>
    <row r="133" customFormat="false" ht="15" hidden="false" customHeight="false" outlineLevel="0" collapsed="false">
      <c r="A133" s="29" t="s">
        <v>2047</v>
      </c>
      <c r="B133" s="60" t="s">
        <v>2033</v>
      </c>
      <c r="C133" s="61" t="n">
        <f aca="false">AVERAGE(E133:P133)</f>
        <v>2.5</v>
      </c>
      <c r="E133" s="105" t="n">
        <v>2</v>
      </c>
      <c r="F133" s="105" t="n">
        <v>2</v>
      </c>
      <c r="G133" s="105" t="n">
        <v>2</v>
      </c>
      <c r="H133" s="105" t="n">
        <v>2</v>
      </c>
      <c r="I133" s="105" t="n">
        <v>3</v>
      </c>
      <c r="J133" s="105" t="n">
        <v>3</v>
      </c>
      <c r="K133" s="105" t="n">
        <v>3</v>
      </c>
      <c r="L133" s="105" t="n">
        <v>3</v>
      </c>
    </row>
    <row r="134" customFormat="false" ht="15" hidden="false" customHeight="false" outlineLevel="0" collapsed="false">
      <c r="A134" s="29" t="s">
        <v>2048</v>
      </c>
      <c r="B134" s="60" t="s">
        <v>1917</v>
      </c>
      <c r="C134" s="66" t="n">
        <f aca="false">SUM(E134:P134)</f>
        <v>552.9</v>
      </c>
      <c r="E134" s="129" t="n">
        <v>51.7</v>
      </c>
      <c r="F134" s="129" t="n">
        <v>53.3</v>
      </c>
      <c r="G134" s="129" t="n">
        <v>81.7</v>
      </c>
      <c r="H134" s="129" t="n">
        <v>67.3</v>
      </c>
      <c r="I134" s="129" t="n">
        <v>73.1</v>
      </c>
      <c r="J134" s="129" t="n">
        <v>88.8</v>
      </c>
      <c r="K134" s="129" t="n">
        <v>71.8</v>
      </c>
      <c r="L134" s="129" t="n">
        <v>65.2</v>
      </c>
    </row>
    <row r="135" customFormat="false" ht="15" hidden="false" customHeight="false" outlineLevel="0" collapsed="false">
      <c r="A135" s="29" t="s">
        <v>2049</v>
      </c>
      <c r="B135" s="60" t="s">
        <v>2050</v>
      </c>
      <c r="C135" s="66" t="n">
        <f aca="false">SUM(E135:P135)</f>
        <v>0.426</v>
      </c>
      <c r="E135" s="129" t="n">
        <v>0.0335</v>
      </c>
      <c r="F135" s="129" t="n">
        <v>0.013</v>
      </c>
      <c r="G135" s="129" t="n">
        <v>0.099</v>
      </c>
      <c r="H135" s="129" t="n">
        <v>0.08</v>
      </c>
      <c r="I135" s="129" t="n">
        <v>0.0815</v>
      </c>
      <c r="J135" s="129" t="n">
        <v>0.026</v>
      </c>
      <c r="K135" s="129" t="n">
        <v>0.031</v>
      </c>
      <c r="L135" s="129" t="n">
        <v>0.062</v>
      </c>
    </row>
    <row r="136" customFormat="false" ht="15" hidden="false" customHeight="false" outlineLevel="0" collapsed="false">
      <c r="A136" s="29" t="s">
        <v>2051</v>
      </c>
      <c r="B136" s="60" t="s">
        <v>1917</v>
      </c>
      <c r="C136" s="66" t="n">
        <f aca="false">SUM(E136:P136)</f>
        <v>701.2</v>
      </c>
      <c r="E136" s="129" t="n">
        <v>67.2</v>
      </c>
      <c r="F136" s="129" t="n">
        <v>69.4</v>
      </c>
      <c r="G136" s="129" t="n">
        <v>99.9</v>
      </c>
      <c r="H136" s="129" t="n">
        <v>83.5</v>
      </c>
      <c r="I136" s="129" t="n">
        <v>94.5</v>
      </c>
      <c r="J136" s="129" t="n">
        <v>116.8</v>
      </c>
      <c r="K136" s="129" t="n">
        <v>90.3</v>
      </c>
      <c r="L136" s="129" t="n">
        <v>79.6</v>
      </c>
    </row>
    <row r="137" customFormat="false" ht="15" hidden="false" customHeight="false" outlineLevel="0" collapsed="false">
      <c r="A137" s="29" t="s">
        <v>2052</v>
      </c>
      <c r="B137" s="60" t="s">
        <v>2050</v>
      </c>
      <c r="C137" s="66" t="n">
        <f aca="false">SUM(E137:P137)</f>
        <v>0.47</v>
      </c>
      <c r="E137" s="129" t="n">
        <v>0.0595</v>
      </c>
      <c r="F137" s="129" t="n">
        <v>0.045</v>
      </c>
      <c r="G137" s="129" t="n">
        <v>0.071</v>
      </c>
      <c r="H137" s="129" t="n">
        <v>0.088</v>
      </c>
      <c r="I137" s="129" t="n">
        <v>0.0315</v>
      </c>
      <c r="J137" s="129" t="n">
        <v>0.098</v>
      </c>
      <c r="K137" s="129" t="n">
        <v>0.055</v>
      </c>
      <c r="L137" s="129" t="n">
        <v>0.022</v>
      </c>
    </row>
    <row r="138" customFormat="false" ht="15" hidden="false" customHeight="false" outlineLevel="0" collapsed="false">
      <c r="A138" s="29" t="s">
        <v>2053</v>
      </c>
      <c r="B138" s="60" t="s">
        <v>1917</v>
      </c>
      <c r="C138" s="66" t="n">
        <f aca="false">SUM(E138:P138)</f>
        <v>1856.2</v>
      </c>
      <c r="E138" s="129" t="n">
        <v>179.6</v>
      </c>
      <c r="F138" s="129" t="n">
        <v>185.6</v>
      </c>
      <c r="G138" s="129" t="n">
        <v>260.7</v>
      </c>
      <c r="H138" s="129" t="n">
        <v>219.2</v>
      </c>
      <c r="I138" s="129" t="n">
        <v>251.8</v>
      </c>
      <c r="J138" s="129" t="n">
        <v>313.5</v>
      </c>
      <c r="K138" s="129" t="n">
        <v>238.3</v>
      </c>
      <c r="L138" s="129" t="n">
        <v>207.5</v>
      </c>
    </row>
    <row r="139" customFormat="false" ht="15" hidden="false" customHeight="false" outlineLevel="0" collapsed="false">
      <c r="A139" s="29" t="s">
        <v>2054</v>
      </c>
      <c r="B139" s="60" t="s">
        <v>2050</v>
      </c>
      <c r="C139" s="66" t="n">
        <f aca="false">SUM(E139:P139)</f>
        <v>0.332</v>
      </c>
      <c r="E139" s="129" t="n">
        <v>0.034</v>
      </c>
      <c r="F139" s="129" t="n">
        <v>0.001</v>
      </c>
      <c r="G139" s="129" t="n">
        <v>0.014</v>
      </c>
      <c r="H139" s="129" t="n">
        <v>0.088</v>
      </c>
      <c r="I139" s="129" t="n">
        <v>0.067</v>
      </c>
      <c r="J139" s="129" t="n">
        <v>0.1</v>
      </c>
      <c r="K139" s="129" t="n">
        <v>0.027</v>
      </c>
      <c r="L139" s="129" t="n">
        <v>0.001</v>
      </c>
    </row>
    <row r="140" customFormat="false" ht="15" hidden="false" customHeight="false" outlineLevel="0" collapsed="false">
      <c r="A140" s="29" t="s">
        <v>2055</v>
      </c>
      <c r="B140" s="60" t="s">
        <v>1917</v>
      </c>
      <c r="C140" s="66" t="n">
        <f aca="false">SUM(E140:P140)</f>
        <v>2958.3</v>
      </c>
      <c r="E140" s="129" t="n">
        <v>321.2</v>
      </c>
      <c r="F140" s="129" t="n">
        <v>332.1</v>
      </c>
      <c r="G140" s="129" t="n">
        <v>458.3</v>
      </c>
      <c r="H140" s="129" t="n">
        <v>360.1</v>
      </c>
      <c r="I140" s="129" t="n">
        <v>304.6</v>
      </c>
      <c r="J140" s="129" t="n">
        <v>395</v>
      </c>
      <c r="K140" s="129" t="n">
        <v>422.4</v>
      </c>
      <c r="L140" s="129" t="n">
        <v>364.6</v>
      </c>
    </row>
    <row r="141" customFormat="false" ht="15" hidden="false" customHeight="false" outlineLevel="0" collapsed="false">
      <c r="A141" s="29" t="s">
        <v>2056</v>
      </c>
      <c r="B141" s="60" t="s">
        <v>2050</v>
      </c>
      <c r="C141" s="66" t="n">
        <f aca="false">SUM(E141:P141)</f>
        <v>340.14</v>
      </c>
      <c r="E141" s="129" t="n">
        <v>0.079</v>
      </c>
      <c r="F141" s="129" t="n">
        <v>0.015</v>
      </c>
      <c r="G141" s="129" t="n">
        <v>0.072</v>
      </c>
      <c r="H141" s="129" t="n">
        <v>27.116</v>
      </c>
      <c r="I141" s="129" t="n">
        <v>145.108</v>
      </c>
      <c r="J141" s="129" t="n">
        <v>167.636</v>
      </c>
      <c r="K141" s="129" t="n">
        <v>0.085</v>
      </c>
      <c r="L141" s="129" t="n">
        <v>0.029</v>
      </c>
    </row>
    <row r="142" customFormat="false" ht="15" hidden="false" customHeight="false" outlineLevel="0" collapsed="false">
      <c r="A142" s="29" t="s">
        <v>2057</v>
      </c>
      <c r="B142" s="60" t="s">
        <v>1917</v>
      </c>
      <c r="C142" s="66" t="n">
        <f aca="false">SUM(E142:P142)</f>
        <v>3511.1</v>
      </c>
      <c r="E142" s="129" t="n">
        <v>366.3</v>
      </c>
      <c r="F142" s="129" t="n">
        <v>378.8</v>
      </c>
      <c r="G142" s="129" t="n">
        <v>519.1</v>
      </c>
      <c r="H142" s="129" t="n">
        <v>439.3</v>
      </c>
      <c r="I142" s="129" t="n">
        <v>398.1</v>
      </c>
      <c r="J142" s="129" t="n">
        <v>516.6</v>
      </c>
      <c r="K142" s="129" t="n">
        <v>480.1</v>
      </c>
      <c r="L142" s="129" t="n">
        <v>412.8</v>
      </c>
    </row>
    <row r="143" customFormat="false" ht="15" hidden="false" customHeight="false" outlineLevel="0" collapsed="false">
      <c r="A143" s="29" t="s">
        <v>2058</v>
      </c>
      <c r="B143" s="60" t="s">
        <v>2050</v>
      </c>
      <c r="C143" s="66" t="n">
        <f aca="false">SUM(E143:P143)</f>
        <v>240.532</v>
      </c>
      <c r="E143" s="129" t="n">
        <v>0.094</v>
      </c>
      <c r="F143" s="129" t="n">
        <v>0.026</v>
      </c>
      <c r="G143" s="129" t="n">
        <v>0.044</v>
      </c>
      <c r="H143" s="129" t="n">
        <v>0.028</v>
      </c>
      <c r="I143" s="129" t="n">
        <v>114.412</v>
      </c>
      <c r="J143" s="129" t="n">
        <v>125.84</v>
      </c>
      <c r="K143" s="129" t="n">
        <v>0.002</v>
      </c>
      <c r="L143" s="129" t="n">
        <v>0.086</v>
      </c>
    </row>
    <row r="144" customFormat="false" ht="15" hidden="false" customHeight="false" outlineLevel="0" collapsed="false">
      <c r="A144" s="29" t="s">
        <v>2059</v>
      </c>
      <c r="B144" s="60" t="s">
        <v>1917</v>
      </c>
      <c r="C144" s="66" t="n">
        <f aca="false">SUM(E144:P144)</f>
        <v>332.4</v>
      </c>
      <c r="E144" s="129" t="n">
        <v>24.1</v>
      </c>
      <c r="F144" s="129" t="n">
        <v>38</v>
      </c>
      <c r="G144" s="129" t="n">
        <v>41.9</v>
      </c>
      <c r="H144" s="129" t="n">
        <v>50.3</v>
      </c>
      <c r="I144" s="129" t="n">
        <v>43</v>
      </c>
      <c r="J144" s="129" t="n">
        <v>55.8</v>
      </c>
      <c r="K144" s="129" t="n">
        <v>45.2</v>
      </c>
      <c r="L144" s="129" t="n">
        <v>34.1</v>
      </c>
    </row>
    <row r="145" customFormat="false" ht="15" hidden="false" customHeight="false" outlineLevel="0" collapsed="false">
      <c r="A145" s="29" t="s">
        <v>2060</v>
      </c>
      <c r="B145" s="60" t="s">
        <v>2050</v>
      </c>
      <c r="C145" s="66" t="n">
        <f aca="false">SUM(E145:P145)</f>
        <v>0.559</v>
      </c>
      <c r="E145" s="129" t="n">
        <v>0.071</v>
      </c>
      <c r="F145" s="129" t="n">
        <v>0.1</v>
      </c>
      <c r="G145" s="129" t="n">
        <v>0.052</v>
      </c>
      <c r="H145" s="129" t="n">
        <v>0.035</v>
      </c>
      <c r="I145" s="129" t="n">
        <v>0.078</v>
      </c>
      <c r="J145" s="129" t="n">
        <v>0.083</v>
      </c>
      <c r="K145" s="129" t="n">
        <v>0.082</v>
      </c>
      <c r="L145" s="129" t="n">
        <v>0.058</v>
      </c>
    </row>
    <row r="146" customFormat="false" ht="15" hidden="false" customHeight="false" outlineLevel="0" collapsed="false">
      <c r="A146" s="29" t="s">
        <v>2061</v>
      </c>
      <c r="B146" s="60" t="s">
        <v>1917</v>
      </c>
      <c r="C146" s="66" t="n">
        <f aca="false">SUM(E146:P146)</f>
        <v>504.1</v>
      </c>
      <c r="E146" s="129" t="n">
        <v>42.8</v>
      </c>
      <c r="F146" s="129" t="n">
        <v>63.1</v>
      </c>
      <c r="G146" s="129" t="n">
        <v>69.1</v>
      </c>
      <c r="H146" s="129" t="n">
        <v>76.2</v>
      </c>
      <c r="I146" s="129" t="n">
        <v>64.9</v>
      </c>
      <c r="J146" s="129" t="n">
        <v>84.3</v>
      </c>
      <c r="K146" s="129" t="n">
        <v>59</v>
      </c>
      <c r="L146" s="129" t="n">
        <v>44.7</v>
      </c>
    </row>
    <row r="147" customFormat="false" ht="15" hidden="false" customHeight="false" outlineLevel="0" collapsed="false">
      <c r="A147" s="29" t="s">
        <v>2062</v>
      </c>
      <c r="B147" s="60" t="s">
        <v>2050</v>
      </c>
      <c r="C147" s="66" t="n">
        <f aca="false">SUM(E147:P147)</f>
        <v>0.401</v>
      </c>
      <c r="E147" s="129" t="n">
        <v>0.042</v>
      </c>
      <c r="F147" s="129" t="n">
        <v>0.04</v>
      </c>
      <c r="G147" s="129" t="n">
        <v>0.054</v>
      </c>
      <c r="H147" s="129" t="n">
        <v>0.049</v>
      </c>
      <c r="I147" s="129" t="n">
        <v>0.089</v>
      </c>
      <c r="J147" s="129" t="n">
        <v>0.067</v>
      </c>
      <c r="K147" s="129" t="n">
        <v>0.05</v>
      </c>
      <c r="L147" s="129" t="n">
        <v>0.01</v>
      </c>
    </row>
    <row r="148" customFormat="false" ht="15" hidden="false" customHeight="false" outlineLevel="0" collapsed="false">
      <c r="A148" s="29" t="s">
        <v>2063</v>
      </c>
      <c r="B148" s="60" t="s">
        <v>1917</v>
      </c>
      <c r="C148" s="66" t="n">
        <f aca="false">SUM(E148:P148)</f>
        <v>1580.9</v>
      </c>
      <c r="E148" s="129" t="n">
        <v>122.9</v>
      </c>
      <c r="F148" s="129" t="n">
        <v>225.3</v>
      </c>
      <c r="G148" s="129" t="n">
        <v>244.8</v>
      </c>
      <c r="H148" s="129" t="n">
        <v>237.9</v>
      </c>
      <c r="I148" s="129" t="n">
        <v>209.6</v>
      </c>
      <c r="J148" s="129" t="n">
        <v>262.9</v>
      </c>
      <c r="K148" s="129" t="n">
        <v>157.8</v>
      </c>
      <c r="L148" s="129" t="n">
        <v>119.7</v>
      </c>
    </row>
    <row r="149" customFormat="false" ht="15" hidden="false" customHeight="false" outlineLevel="0" collapsed="false">
      <c r="A149" s="29" t="s">
        <v>2064</v>
      </c>
      <c r="B149" s="60" t="s">
        <v>2050</v>
      </c>
      <c r="C149" s="66" t="n">
        <f aca="false">SUM(E149:P149)</f>
        <v>96.909</v>
      </c>
      <c r="E149" s="129" t="n">
        <v>45.139</v>
      </c>
      <c r="F149" s="129" t="n">
        <v>0.06</v>
      </c>
      <c r="G149" s="129" t="n">
        <v>0.018</v>
      </c>
      <c r="H149" s="129" t="n">
        <v>20.729</v>
      </c>
      <c r="I149" s="129" t="n">
        <v>9.81</v>
      </c>
      <c r="J149" s="129" t="n">
        <v>21.063</v>
      </c>
      <c r="K149" s="129" t="n">
        <v>0.084</v>
      </c>
      <c r="L149" s="129" t="n">
        <v>0.006</v>
      </c>
    </row>
    <row r="150" customFormat="false" ht="15" hidden="false" customHeight="false" outlineLevel="0" collapsed="false">
      <c r="A150" s="29" t="s">
        <v>2065</v>
      </c>
      <c r="B150" s="60" t="s">
        <v>1917</v>
      </c>
      <c r="C150" s="66" t="n">
        <f aca="false">SUM(E150:P150)</f>
        <v>2563</v>
      </c>
      <c r="E150" s="129" t="n">
        <v>262.8</v>
      </c>
      <c r="F150" s="129" t="n">
        <v>356.8</v>
      </c>
      <c r="G150" s="129" t="n">
        <v>396.6</v>
      </c>
      <c r="H150" s="129" t="n">
        <v>358.6</v>
      </c>
      <c r="I150" s="129" t="n">
        <v>305.8</v>
      </c>
      <c r="J150" s="129" t="n">
        <v>385.4</v>
      </c>
      <c r="K150" s="129" t="n">
        <v>282.6</v>
      </c>
      <c r="L150" s="129" t="n">
        <v>214.4</v>
      </c>
    </row>
    <row r="151" customFormat="false" ht="15" hidden="false" customHeight="false" outlineLevel="0" collapsed="false">
      <c r="A151" s="29" t="s">
        <v>2066</v>
      </c>
      <c r="B151" s="60" t="s">
        <v>2050</v>
      </c>
      <c r="C151" s="66" t="n">
        <f aca="false">SUM(E151:P151)</f>
        <v>208.809</v>
      </c>
      <c r="E151" s="129" t="n">
        <v>0.08</v>
      </c>
      <c r="F151" s="129" t="n">
        <v>10.152</v>
      </c>
      <c r="G151" s="129" t="n">
        <v>3.46</v>
      </c>
      <c r="H151" s="129" t="n">
        <v>63.137</v>
      </c>
      <c r="I151" s="129" t="n">
        <v>52.517</v>
      </c>
      <c r="J151" s="129" t="n">
        <v>79.393</v>
      </c>
      <c r="K151" s="129" t="n">
        <v>0</v>
      </c>
      <c r="L151" s="129" t="n">
        <v>0.07</v>
      </c>
    </row>
    <row r="152" customFormat="false" ht="15" hidden="false" customHeight="false" outlineLevel="0" collapsed="false">
      <c r="A152" s="29" t="s">
        <v>2067</v>
      </c>
      <c r="B152" s="60" t="s">
        <v>1917</v>
      </c>
      <c r="C152" s="66" t="n">
        <f aca="false">SUM(E152:P152)</f>
        <v>2392</v>
      </c>
      <c r="E152" s="129" t="n">
        <v>197.7</v>
      </c>
      <c r="F152" s="129" t="n">
        <v>236.1</v>
      </c>
      <c r="G152" s="129" t="n">
        <v>347.4</v>
      </c>
      <c r="H152" s="129" t="n">
        <v>352</v>
      </c>
      <c r="I152" s="129" t="n">
        <v>307.2</v>
      </c>
      <c r="J152" s="129" t="n">
        <v>384.6</v>
      </c>
      <c r="K152" s="129" t="n">
        <v>322.3</v>
      </c>
      <c r="L152" s="129" t="n">
        <v>244.7</v>
      </c>
    </row>
    <row r="153" customFormat="false" ht="15" hidden="false" customHeight="false" outlineLevel="0" collapsed="false">
      <c r="A153" s="29" t="s">
        <v>2068</v>
      </c>
      <c r="B153" s="60" t="s">
        <v>2050</v>
      </c>
      <c r="C153" s="66" t="n">
        <f aca="false">SUM(E153:P153)</f>
        <v>144.222</v>
      </c>
      <c r="E153" s="129" t="n">
        <v>0.068</v>
      </c>
      <c r="F153" s="129" t="n">
        <v>79.148</v>
      </c>
      <c r="G153" s="129" t="n">
        <v>0.016</v>
      </c>
      <c r="H153" s="129" t="n">
        <v>21.55</v>
      </c>
      <c r="I153" s="129" t="n">
        <v>11.806</v>
      </c>
      <c r="J153" s="129" t="n">
        <v>31.494</v>
      </c>
      <c r="K153" s="129" t="n">
        <v>0.084</v>
      </c>
      <c r="L153" s="129" t="n">
        <v>0.056</v>
      </c>
    </row>
    <row r="154" customFormat="false" ht="15" hidden="false" customHeight="false" outlineLevel="0" collapsed="false">
      <c r="A154" s="29" t="s">
        <v>2069</v>
      </c>
      <c r="B154" s="60" t="s">
        <v>1917</v>
      </c>
      <c r="C154" s="66" t="n">
        <f aca="false">SUM(E154:P154)</f>
        <v>261.3</v>
      </c>
      <c r="E154" s="129" t="n">
        <v>31.5</v>
      </c>
      <c r="F154" s="129" t="n">
        <v>28.6</v>
      </c>
      <c r="G154" s="129" t="n">
        <v>41.5</v>
      </c>
      <c r="H154" s="129" t="n">
        <v>24.2</v>
      </c>
      <c r="I154" s="129" t="n">
        <v>24.8</v>
      </c>
      <c r="J154" s="129" t="n">
        <v>29.5</v>
      </c>
      <c r="K154" s="129" t="n">
        <v>46.1</v>
      </c>
      <c r="L154" s="129" t="n">
        <v>35.1</v>
      </c>
    </row>
    <row r="155" customFormat="false" ht="15" hidden="false" customHeight="false" outlineLevel="0" collapsed="false">
      <c r="A155" s="29" t="s">
        <v>2070</v>
      </c>
      <c r="B155" s="60" t="s">
        <v>2050</v>
      </c>
      <c r="C155" s="66" t="n">
        <f aca="false">SUM(E155:P155)</f>
        <v>0.389</v>
      </c>
      <c r="E155" s="129" t="n">
        <v>0.036</v>
      </c>
      <c r="F155" s="129" t="n">
        <v>0.036</v>
      </c>
      <c r="G155" s="129" t="n">
        <v>0.0435</v>
      </c>
      <c r="H155" s="129" t="n">
        <v>0.0085</v>
      </c>
      <c r="I155" s="129" t="n">
        <v>0.0505</v>
      </c>
      <c r="J155" s="129" t="n">
        <v>0.053</v>
      </c>
      <c r="K155" s="129" t="n">
        <v>0.07</v>
      </c>
      <c r="L155" s="129" t="n">
        <v>0.0915</v>
      </c>
    </row>
    <row r="156" customFormat="false" ht="15" hidden="false" customHeight="false" outlineLevel="0" collapsed="false">
      <c r="A156" s="29" t="s">
        <v>2071</v>
      </c>
      <c r="B156" s="60" t="s">
        <v>1917</v>
      </c>
      <c r="C156" s="66" t="n">
        <f aca="false">SUM(E156:P156)</f>
        <v>442.3</v>
      </c>
      <c r="E156" s="129" t="n">
        <v>52.7</v>
      </c>
      <c r="F156" s="129" t="n">
        <v>47.2</v>
      </c>
      <c r="G156" s="129" t="n">
        <v>67.6</v>
      </c>
      <c r="H156" s="129" t="n">
        <v>44.3</v>
      </c>
      <c r="I156" s="129" t="n">
        <v>46.1</v>
      </c>
      <c r="J156" s="129" t="n">
        <v>54.2</v>
      </c>
      <c r="K156" s="129" t="n">
        <v>74.5</v>
      </c>
      <c r="L156" s="129" t="n">
        <v>55.7</v>
      </c>
    </row>
    <row r="157" customFormat="false" ht="15" hidden="false" customHeight="false" outlineLevel="0" collapsed="false">
      <c r="A157" s="29" t="s">
        <v>2072</v>
      </c>
      <c r="B157" s="60" t="s">
        <v>2050</v>
      </c>
      <c r="C157" s="66" t="n">
        <f aca="false">SUM(E157:P157)</f>
        <v>0.54</v>
      </c>
      <c r="E157" s="129" t="n">
        <v>0.076</v>
      </c>
      <c r="F157" s="129" t="n">
        <v>0.096</v>
      </c>
      <c r="G157" s="129" t="n">
        <v>0.0935</v>
      </c>
      <c r="H157" s="129" t="n">
        <v>0.0445</v>
      </c>
      <c r="I157" s="129" t="n">
        <v>0.0485</v>
      </c>
      <c r="J157" s="129" t="n">
        <v>0.096</v>
      </c>
      <c r="K157" s="129" t="n">
        <v>0.027</v>
      </c>
      <c r="L157" s="129" t="n">
        <v>0.0585</v>
      </c>
    </row>
    <row r="158" customFormat="false" ht="15" hidden="false" customHeight="false" outlineLevel="0" collapsed="false">
      <c r="A158" s="29" t="s">
        <v>2073</v>
      </c>
      <c r="B158" s="60" t="s">
        <v>1917</v>
      </c>
      <c r="C158" s="66" t="n">
        <f aca="false">SUM(E158:P158)</f>
        <v>1757.4</v>
      </c>
      <c r="E158" s="129" t="n">
        <v>215.6</v>
      </c>
      <c r="F158" s="129" t="n">
        <v>191.6</v>
      </c>
      <c r="G158" s="129" t="n">
        <v>261</v>
      </c>
      <c r="H158" s="129" t="n">
        <v>181.2</v>
      </c>
      <c r="I158" s="129" t="n">
        <v>191.6</v>
      </c>
      <c r="J158" s="129" t="n">
        <v>222.6</v>
      </c>
      <c r="K158" s="129" t="n">
        <v>283.8</v>
      </c>
      <c r="L158" s="129" t="n">
        <v>210</v>
      </c>
    </row>
    <row r="159" customFormat="false" ht="15" hidden="false" customHeight="false" outlineLevel="0" collapsed="false">
      <c r="A159" s="29" t="s">
        <v>2074</v>
      </c>
      <c r="B159" s="60" t="s">
        <v>2050</v>
      </c>
      <c r="C159" s="66" t="n">
        <f aca="false">SUM(E159:P159)</f>
        <v>1.228</v>
      </c>
      <c r="E159" s="129" t="n">
        <v>0.013</v>
      </c>
      <c r="F159" s="129" t="n">
        <v>0.033</v>
      </c>
      <c r="G159" s="129" t="n">
        <v>0.038</v>
      </c>
      <c r="H159" s="129" t="n">
        <v>0.024</v>
      </c>
      <c r="I159" s="129" t="n">
        <v>0.082</v>
      </c>
      <c r="J159" s="129" t="n">
        <v>0.087</v>
      </c>
      <c r="K159" s="129" t="n">
        <v>0.882</v>
      </c>
      <c r="L159" s="129" t="n">
        <v>0.069</v>
      </c>
    </row>
    <row r="160" customFormat="false" ht="15" hidden="false" customHeight="false" outlineLevel="0" collapsed="false">
      <c r="A160" s="29" t="s">
        <v>2075</v>
      </c>
      <c r="B160" s="60" t="s">
        <v>1917</v>
      </c>
      <c r="C160" s="66" t="n">
        <f aca="false">SUM(E160:P160)</f>
        <v>2417.6</v>
      </c>
      <c r="E160" s="129" t="n">
        <v>323</v>
      </c>
      <c r="F160" s="129" t="n">
        <v>287.4</v>
      </c>
      <c r="G160" s="129" t="n">
        <v>400.5</v>
      </c>
      <c r="H160" s="129" t="n">
        <v>278.7</v>
      </c>
      <c r="I160" s="129" t="n">
        <v>292.9</v>
      </c>
      <c r="J160" s="129" t="n">
        <v>342</v>
      </c>
      <c r="K160" s="129" t="n">
        <v>276.1</v>
      </c>
      <c r="L160" s="129" t="n">
        <v>217</v>
      </c>
    </row>
    <row r="161" customFormat="false" ht="15" hidden="false" customHeight="false" outlineLevel="0" collapsed="false">
      <c r="A161" s="29" t="s">
        <v>2076</v>
      </c>
      <c r="B161" s="60" t="s">
        <v>2050</v>
      </c>
      <c r="C161" s="66" t="n">
        <f aca="false">SUM(E161:P161)</f>
        <v>274.237</v>
      </c>
      <c r="E161" s="129" t="n">
        <v>0.097</v>
      </c>
      <c r="F161" s="129" t="n">
        <v>0.057</v>
      </c>
      <c r="G161" s="129" t="n">
        <v>1.675</v>
      </c>
      <c r="H161" s="129" t="n">
        <v>0.097</v>
      </c>
      <c r="I161" s="129" t="n">
        <v>0.073</v>
      </c>
      <c r="J161" s="129" t="n">
        <v>0.092</v>
      </c>
      <c r="K161" s="129" t="n">
        <v>163.767</v>
      </c>
      <c r="L161" s="129" t="n">
        <v>108.379</v>
      </c>
    </row>
    <row r="162" customFormat="false" ht="15" hidden="false" customHeight="false" outlineLevel="0" collapsed="false">
      <c r="A162" s="29" t="s">
        <v>2077</v>
      </c>
      <c r="B162" s="60" t="s">
        <v>1917</v>
      </c>
      <c r="C162" s="66" t="n">
        <f aca="false">SUM(E162:P162)</f>
        <v>1891.1</v>
      </c>
      <c r="E162" s="129" t="n">
        <v>213.6</v>
      </c>
      <c r="F162" s="129" t="n">
        <v>191.6</v>
      </c>
      <c r="G162" s="129" t="n">
        <v>274.7</v>
      </c>
      <c r="H162" s="129" t="n">
        <v>196.9</v>
      </c>
      <c r="I162" s="129" t="n">
        <v>201.6</v>
      </c>
      <c r="J162" s="129" t="n">
        <v>240.2</v>
      </c>
      <c r="K162" s="129" t="n">
        <v>327.1</v>
      </c>
      <c r="L162" s="129" t="n">
        <v>245.4</v>
      </c>
    </row>
    <row r="163" customFormat="false" ht="15" hidden="false" customHeight="false" outlineLevel="0" collapsed="false">
      <c r="A163" s="29" t="s">
        <v>2078</v>
      </c>
      <c r="B163" s="60" t="s">
        <v>2050</v>
      </c>
      <c r="C163" s="66" t="n">
        <f aca="false">SUM(E163:P163)</f>
        <v>21.106</v>
      </c>
      <c r="E163" s="129" t="n">
        <v>0.078</v>
      </c>
      <c r="F163" s="129" t="n">
        <v>0.078</v>
      </c>
      <c r="G163" s="129" t="n">
        <v>20.75</v>
      </c>
      <c r="H163" s="129" t="n">
        <v>0.026</v>
      </c>
      <c r="I163" s="129" t="n">
        <v>0.046</v>
      </c>
      <c r="J163" s="129" t="n">
        <v>0.072</v>
      </c>
      <c r="K163" s="129" t="n">
        <v>0.054</v>
      </c>
      <c r="L163" s="129" t="n">
        <v>0.002</v>
      </c>
    </row>
    <row r="164" customFormat="false" ht="15" hidden="false" customHeight="false" outlineLevel="0" collapsed="false">
      <c r="A164" s="29" t="s">
        <v>2079</v>
      </c>
      <c r="B164" s="60" t="s">
        <v>2080</v>
      </c>
      <c r="C164" s="61" t="n">
        <f aca="false">SUM(E164:P164)</f>
        <v>152950.66</v>
      </c>
      <c r="E164" s="105" t="n">
        <v>6924.26</v>
      </c>
      <c r="F164" s="105" t="n">
        <v>8663.68</v>
      </c>
      <c r="G164" s="105" t="n">
        <v>2599.5</v>
      </c>
      <c r="H164" s="105" t="n">
        <v>16117.31</v>
      </c>
      <c r="I164" s="105" t="n">
        <v>36895.17</v>
      </c>
      <c r="J164" s="105" t="n">
        <v>48703.47</v>
      </c>
      <c r="K164" s="105" t="n">
        <v>19866.04</v>
      </c>
      <c r="L164" s="105" t="n">
        <v>13181.23</v>
      </c>
    </row>
    <row r="165" customFormat="false" ht="15" hidden="false" customHeight="false" outlineLevel="0" collapsed="false">
      <c r="A165" s="23" t="s">
        <v>2081</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row>
    <row r="166" customFormat="false" ht="15" hidden="false" customHeight="false" outlineLevel="0" collapsed="false">
      <c r="A166" s="29" t="s">
        <v>2082</v>
      </c>
      <c r="B166" s="60" t="s">
        <v>2033</v>
      </c>
      <c r="C166" s="61" t="n">
        <f aca="false">SUM(E166:P166)</f>
        <v>827968.28</v>
      </c>
      <c r="E166" s="105" t="n">
        <v>106029.75</v>
      </c>
      <c r="F166" s="105" t="n">
        <v>106197.37</v>
      </c>
      <c r="G166" s="105" t="n">
        <v>106182.46</v>
      </c>
      <c r="H166" s="105" t="n">
        <v>99431.84</v>
      </c>
      <c r="I166" s="105" t="n">
        <v>99088.01</v>
      </c>
      <c r="J166" s="105" t="n">
        <v>98802.39</v>
      </c>
      <c r="K166" s="105" t="n">
        <v>106089.57</v>
      </c>
      <c r="L166" s="105" t="n">
        <v>106146.89</v>
      </c>
    </row>
    <row r="167" customFormat="false" ht="15" hidden="false" customHeight="false" outlineLevel="0" collapsed="false">
      <c r="A167" s="29" t="s">
        <v>2083</v>
      </c>
      <c r="B167" s="60" t="s">
        <v>2033</v>
      </c>
      <c r="C167" s="61" t="n">
        <f aca="false">SUM(E167:P167)</f>
        <v>138603.49</v>
      </c>
      <c r="E167" s="105" t="n">
        <v>17808.55</v>
      </c>
      <c r="F167" s="105" t="n">
        <v>17902.65</v>
      </c>
      <c r="G167" s="105" t="n">
        <v>17842.69</v>
      </c>
      <c r="H167" s="105" t="n">
        <v>16474.83</v>
      </c>
      <c r="I167" s="105" t="n">
        <v>16465.1</v>
      </c>
      <c r="J167" s="105" t="n">
        <v>16412.75</v>
      </c>
      <c r="K167" s="105" t="n">
        <v>17822.96</v>
      </c>
      <c r="L167" s="105" t="n">
        <v>17873.96</v>
      </c>
    </row>
    <row r="168" customFormat="false" ht="15" hidden="false" customHeight="false" outlineLevel="0" collapsed="false">
      <c r="A168" s="29" t="s">
        <v>2084</v>
      </c>
      <c r="B168" s="60" t="s">
        <v>2033</v>
      </c>
      <c r="C168" s="61" t="n">
        <f aca="false">SUM(E168:P168)</f>
        <v>658713.47</v>
      </c>
      <c r="E168" s="105" t="n">
        <v>70021.03</v>
      </c>
      <c r="F168" s="105" t="n">
        <v>79172.78</v>
      </c>
      <c r="G168" s="105" t="n">
        <v>84936.01</v>
      </c>
      <c r="H168" s="105" t="n">
        <v>85164.66</v>
      </c>
      <c r="I168" s="105" t="n">
        <v>84665.63</v>
      </c>
      <c r="J168" s="105" t="n">
        <v>84656.26</v>
      </c>
      <c r="K168" s="105" t="n">
        <v>84883.94</v>
      </c>
      <c r="L168" s="105" t="n">
        <v>85213.16</v>
      </c>
    </row>
    <row r="169" customFormat="false" ht="15" hidden="false" customHeight="false" outlineLevel="0" collapsed="false">
      <c r="A169" s="29" t="s">
        <v>2085</v>
      </c>
      <c r="B169" s="60" t="s">
        <v>2033</v>
      </c>
      <c r="C169" s="61" t="n">
        <f aca="false">SUM(E169:P169)</f>
        <v>106550.24</v>
      </c>
      <c r="E169" s="105" t="n">
        <v>11093.97</v>
      </c>
      <c r="F169" s="105" t="n">
        <v>12648.82</v>
      </c>
      <c r="G169" s="105" t="n">
        <v>13799.32</v>
      </c>
      <c r="H169" s="105" t="n">
        <v>13797.57</v>
      </c>
      <c r="I169" s="105" t="n">
        <v>13797.1</v>
      </c>
      <c r="J169" s="105" t="n">
        <v>13770.5</v>
      </c>
      <c r="K169" s="105" t="n">
        <v>13812.03</v>
      </c>
      <c r="L169" s="105" t="n">
        <v>13830.93</v>
      </c>
    </row>
    <row r="170" customFormat="false" ht="15" hidden="false" customHeight="false" outlineLevel="0" collapsed="false">
      <c r="A170" s="29" t="s">
        <v>2086</v>
      </c>
      <c r="B170" s="60" t="s">
        <v>2033</v>
      </c>
      <c r="C170" s="61" t="n">
        <f aca="false">SUM(E170:P170)</f>
        <v>643312.48</v>
      </c>
      <c r="E170" s="105" t="n">
        <v>79638</v>
      </c>
      <c r="F170" s="105" t="n">
        <v>80016.47</v>
      </c>
      <c r="G170" s="105" t="n">
        <v>79569.9</v>
      </c>
      <c r="H170" s="105" t="n">
        <v>79200.57</v>
      </c>
      <c r="I170" s="105" t="n">
        <v>84511.49</v>
      </c>
      <c r="J170" s="105" t="n">
        <v>84877.56</v>
      </c>
      <c r="K170" s="105" t="n">
        <v>77773.9</v>
      </c>
      <c r="L170" s="105" t="n">
        <v>77724.59</v>
      </c>
    </row>
    <row r="171" customFormat="false" ht="15" hidden="false" customHeight="false" outlineLevel="0" collapsed="false">
      <c r="A171" s="29" t="s">
        <v>2087</v>
      </c>
      <c r="B171" s="60" t="s">
        <v>2033</v>
      </c>
      <c r="C171" s="61" t="n">
        <f aca="false">SUM(E171:P171)</f>
        <v>102909.55</v>
      </c>
      <c r="E171" s="105" t="n">
        <v>12639.04</v>
      </c>
      <c r="F171" s="105" t="n">
        <v>12621.34</v>
      </c>
      <c r="G171" s="105" t="n">
        <v>12613.51</v>
      </c>
      <c r="H171" s="105" t="n">
        <v>12671.51</v>
      </c>
      <c r="I171" s="105" t="n">
        <v>13814.17</v>
      </c>
      <c r="J171" s="105" t="n">
        <v>13782.85</v>
      </c>
      <c r="K171" s="105" t="n">
        <v>12363.58</v>
      </c>
      <c r="L171" s="105" t="n">
        <v>12403.55</v>
      </c>
    </row>
    <row r="172" customFormat="false" ht="15" hidden="false" customHeight="false" outlineLevel="0" collapsed="false">
      <c r="A172" s="29" t="s">
        <v>1179</v>
      </c>
      <c r="B172" s="60" t="s">
        <v>2033</v>
      </c>
      <c r="C172" s="61" t="n">
        <f aca="false">SUM(E172:P172)</f>
        <v>463844.2</v>
      </c>
      <c r="E172" s="105" t="n">
        <v>57890.69</v>
      </c>
      <c r="F172" s="105" t="n">
        <v>58107.02</v>
      </c>
      <c r="G172" s="105" t="n">
        <v>57866.78</v>
      </c>
      <c r="H172" s="105" t="n">
        <v>57921.14</v>
      </c>
      <c r="I172" s="105" t="n">
        <v>58027.09</v>
      </c>
      <c r="J172" s="105" t="n">
        <v>57984.44</v>
      </c>
      <c r="K172" s="105" t="n">
        <v>58139.98</v>
      </c>
      <c r="L172" s="105" t="n">
        <v>57907.06</v>
      </c>
    </row>
    <row r="173" customFormat="false" ht="15" hidden="false" customHeight="false" outlineLevel="0" collapsed="false">
      <c r="A173" s="29" t="s">
        <v>2088</v>
      </c>
      <c r="B173" s="60" t="s">
        <v>2033</v>
      </c>
      <c r="C173" s="61" t="n">
        <f aca="false">SUM(E173:P173)</f>
        <v>61286.49</v>
      </c>
      <c r="E173" s="105" t="n">
        <v>7671.46</v>
      </c>
      <c r="F173" s="105" t="n">
        <v>7680.23</v>
      </c>
      <c r="G173" s="105" t="n">
        <v>7634.73</v>
      </c>
      <c r="H173" s="105" t="n">
        <v>7678.38</v>
      </c>
      <c r="I173" s="105" t="n">
        <v>7634.11</v>
      </c>
      <c r="J173" s="105" t="n">
        <v>7663.4</v>
      </c>
      <c r="K173" s="105" t="n">
        <v>7663</v>
      </c>
      <c r="L173" s="105" t="n">
        <v>7661.18</v>
      </c>
    </row>
    <row r="174" customFormat="false" ht="15" hidden="false" customHeight="false" outlineLevel="0" collapsed="false">
      <c r="A174" s="29" t="s">
        <v>2089</v>
      </c>
      <c r="B174" s="60" t="s">
        <v>2033</v>
      </c>
      <c r="C174" s="61" t="n">
        <f aca="false">SUM(E174:P174)</f>
        <v>392000</v>
      </c>
      <c r="E174" s="105" t="n">
        <v>0</v>
      </c>
      <c r="F174" s="105" t="n">
        <v>0</v>
      </c>
      <c r="G174" s="105" t="n">
        <v>392000</v>
      </c>
      <c r="H174" s="105" t="n">
        <v>0</v>
      </c>
      <c r="I174" s="105" t="n">
        <v>0</v>
      </c>
      <c r="J174" s="105" t="n">
        <v>0</v>
      </c>
      <c r="K174" s="105" t="n">
        <v>0</v>
      </c>
      <c r="L174" s="105" t="n">
        <v>0</v>
      </c>
    </row>
    <row r="175" customFormat="false" ht="15" hidden="false" customHeight="false" outlineLevel="0" collapsed="false">
      <c r="A175" s="23" t="s">
        <v>2090</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row>
    <row r="176" customFormat="false" ht="15" hidden="false" customHeight="false" outlineLevel="0" collapsed="false">
      <c r="A176" s="29" t="s">
        <v>367</v>
      </c>
      <c r="B176" s="60" t="s">
        <v>1921</v>
      </c>
      <c r="C176" s="61" t="n">
        <f aca="false">SUM(E176:P176)</f>
        <v>192000</v>
      </c>
      <c r="E176" s="105" t="n">
        <v>24000</v>
      </c>
      <c r="F176" s="105" t="n">
        <v>24000</v>
      </c>
      <c r="G176" s="105" t="n">
        <v>24000</v>
      </c>
      <c r="H176" s="105" t="n">
        <v>24000</v>
      </c>
      <c r="I176" s="105" t="n">
        <v>24000</v>
      </c>
      <c r="J176" s="105" t="n">
        <v>24000</v>
      </c>
      <c r="K176" s="105" t="n">
        <v>24000</v>
      </c>
      <c r="L176" s="105" t="n">
        <v>24000</v>
      </c>
    </row>
    <row r="177" customFormat="false" ht="15" hidden="false" customHeight="false" outlineLevel="0" collapsed="false">
      <c r="A177" s="29" t="s">
        <v>368</v>
      </c>
      <c r="B177" s="60" t="s">
        <v>1921</v>
      </c>
      <c r="C177" s="61" t="n">
        <f aca="false">SUM(E177:P177)</f>
        <v>103419</v>
      </c>
      <c r="E177" s="105" t="n">
        <v>13323</v>
      </c>
      <c r="F177" s="105" t="n">
        <v>11848</v>
      </c>
      <c r="G177" s="105" t="n">
        <v>13014</v>
      </c>
      <c r="H177" s="105" t="n">
        <v>13385</v>
      </c>
      <c r="I177" s="105" t="n">
        <v>12393</v>
      </c>
      <c r="J177" s="105" t="n">
        <v>12973</v>
      </c>
      <c r="K177" s="105" t="n">
        <v>14038</v>
      </c>
      <c r="L177" s="105" t="n">
        <v>12445</v>
      </c>
    </row>
    <row r="178" customFormat="false" ht="15" hidden="false" customHeight="false" outlineLevel="0" collapsed="false">
      <c r="A178" s="29" t="s">
        <v>369</v>
      </c>
      <c r="B178" s="60" t="s">
        <v>1921</v>
      </c>
      <c r="C178" s="61" t="n">
        <f aca="false">SUM(E178:P178)</f>
        <v>50400</v>
      </c>
      <c r="E178" s="105" t="n">
        <v>6300</v>
      </c>
      <c r="F178" s="105" t="n">
        <v>6300</v>
      </c>
      <c r="G178" s="105" t="n">
        <v>6300</v>
      </c>
      <c r="H178" s="105" t="n">
        <v>6300</v>
      </c>
      <c r="I178" s="105" t="n">
        <v>6300</v>
      </c>
      <c r="J178" s="105" t="n">
        <v>6300</v>
      </c>
      <c r="K178" s="105" t="n">
        <v>6300</v>
      </c>
      <c r="L178" s="105" t="n">
        <v>6300</v>
      </c>
    </row>
    <row r="179" customFormat="false" ht="15" hidden="false" customHeight="false" outlineLevel="0" collapsed="false">
      <c r="A179" s="29" t="s">
        <v>370</v>
      </c>
      <c r="B179" s="60" t="s">
        <v>1921</v>
      </c>
      <c r="C179" s="61" t="n">
        <f aca="false">SUM(E179:P179)</f>
        <v>67900</v>
      </c>
      <c r="E179" s="105" t="n">
        <v>2600</v>
      </c>
      <c r="F179" s="105" t="n">
        <v>27140</v>
      </c>
      <c r="G179" s="105" t="n">
        <v>5000</v>
      </c>
      <c r="H179" s="105" t="n">
        <v>2400</v>
      </c>
      <c r="I179" s="105" t="n">
        <v>5000</v>
      </c>
      <c r="J179" s="105" t="n">
        <v>2600</v>
      </c>
      <c r="K179" s="105" t="n">
        <v>20760</v>
      </c>
      <c r="L179" s="105" t="n">
        <v>2400</v>
      </c>
    </row>
    <row r="180" customFormat="false" ht="15" hidden="false" customHeight="false" outlineLevel="0" collapsed="false">
      <c r="A180" s="29" t="s">
        <v>371</v>
      </c>
      <c r="B180" s="60" t="s">
        <v>1921</v>
      </c>
      <c r="C180" s="61" t="n">
        <f aca="false">SUM(E180:P180)</f>
        <v>63892</v>
      </c>
      <c r="E180" s="105" t="n">
        <v>5271</v>
      </c>
      <c r="F180" s="105" t="n">
        <v>8257</v>
      </c>
      <c r="G180" s="105" t="n">
        <v>10457</v>
      </c>
      <c r="H180" s="105" t="n">
        <v>8493</v>
      </c>
      <c r="I180" s="105" t="n">
        <v>12186</v>
      </c>
      <c r="J180" s="105" t="n">
        <v>9257</v>
      </c>
      <c r="K180" s="105" t="n">
        <v>5399</v>
      </c>
      <c r="L180" s="105" t="n">
        <v>4572</v>
      </c>
    </row>
    <row r="181" customFormat="false" ht="15" hidden="false" customHeight="false" outlineLevel="0" collapsed="false">
      <c r="A181" s="29" t="s">
        <v>372</v>
      </c>
      <c r="B181" s="60" t="s">
        <v>1921</v>
      </c>
      <c r="C181" s="61" t="n">
        <f aca="false">SUM(E181:P181)</f>
        <v>43894</v>
      </c>
      <c r="E181" s="105" t="n">
        <v>5605</v>
      </c>
      <c r="F181" s="105" t="n">
        <v>5445</v>
      </c>
      <c r="G181" s="105" t="n">
        <v>6213</v>
      </c>
      <c r="H181" s="105" t="n">
        <v>4981</v>
      </c>
      <c r="I181" s="105" t="n">
        <v>5559</v>
      </c>
      <c r="J181" s="105" t="n">
        <v>4687</v>
      </c>
      <c r="K181" s="105" t="n">
        <v>5685</v>
      </c>
      <c r="L181" s="105" t="n">
        <v>5719</v>
      </c>
    </row>
    <row r="182" customFormat="false" ht="15" hidden="false" customHeight="false" outlineLevel="0" collapsed="false">
      <c r="A182" s="29" t="s">
        <v>373</v>
      </c>
      <c r="B182" s="60" t="s">
        <v>1921</v>
      </c>
      <c r="C182" s="61" t="n">
        <f aca="false">SUM(E182:P182)</f>
        <v>30900</v>
      </c>
      <c r="E182" s="105" t="n">
        <v>4119</v>
      </c>
      <c r="F182" s="105" t="n">
        <v>3907</v>
      </c>
      <c r="G182" s="105" t="n">
        <v>3985</v>
      </c>
      <c r="H182" s="105" t="n">
        <v>3702</v>
      </c>
      <c r="I182" s="105" t="n">
        <v>4027</v>
      </c>
      <c r="J182" s="105" t="n">
        <v>3507</v>
      </c>
      <c r="K182" s="105" t="n">
        <v>3886</v>
      </c>
      <c r="L182" s="105" t="n">
        <v>3767</v>
      </c>
    </row>
    <row r="183" customFormat="false" ht="15" hidden="false" customHeight="false" outlineLevel="0" collapsed="false">
      <c r="A183" s="29" t="s">
        <v>374</v>
      </c>
      <c r="B183" s="60" t="s">
        <v>1921</v>
      </c>
      <c r="C183" s="61" t="n">
        <f aca="false">SUM(E183:P183)</f>
        <v>47292</v>
      </c>
      <c r="E183" s="105" t="n">
        <v>6233</v>
      </c>
      <c r="F183" s="105" t="n">
        <v>5637</v>
      </c>
      <c r="G183" s="105" t="n">
        <v>5729</v>
      </c>
      <c r="H183" s="105" t="n">
        <v>6326</v>
      </c>
      <c r="I183" s="105" t="n">
        <v>5700</v>
      </c>
      <c r="J183" s="105" t="n">
        <v>5710</v>
      </c>
      <c r="K183" s="105" t="n">
        <v>5806</v>
      </c>
      <c r="L183" s="105" t="n">
        <v>6151</v>
      </c>
    </row>
    <row r="184" customFormat="false" ht="15" hidden="false" customHeight="false" outlineLevel="0" collapsed="false">
      <c r="A184" s="29" t="s">
        <v>375</v>
      </c>
      <c r="B184" s="60" t="s">
        <v>1921</v>
      </c>
      <c r="C184" s="61" t="n">
        <f aca="false">SUM(E184:P184)</f>
        <v>34042</v>
      </c>
      <c r="E184" s="105" t="n">
        <v>3851</v>
      </c>
      <c r="F184" s="105" t="n">
        <v>4498</v>
      </c>
      <c r="G184" s="105" t="n">
        <v>4617</v>
      </c>
      <c r="H184" s="105" t="n">
        <v>4280</v>
      </c>
      <c r="I184" s="105" t="n">
        <v>4042</v>
      </c>
      <c r="J184" s="105" t="n">
        <v>4355</v>
      </c>
      <c r="K184" s="105" t="n">
        <v>4019</v>
      </c>
      <c r="L184" s="105" t="n">
        <v>4380</v>
      </c>
    </row>
    <row r="185" customFormat="false" ht="15" hidden="false" customHeight="false" outlineLevel="0" collapsed="false">
      <c r="A185" s="29" t="s">
        <v>376</v>
      </c>
      <c r="B185" s="60" t="s">
        <v>1921</v>
      </c>
      <c r="C185" s="61" t="n">
        <f aca="false">SUM(E185:P185)</f>
        <v>15470</v>
      </c>
      <c r="E185" s="105" t="n">
        <v>1273</v>
      </c>
      <c r="F185" s="105" t="n">
        <v>1886</v>
      </c>
      <c r="G185" s="105" t="n">
        <v>2918</v>
      </c>
      <c r="H185" s="105" t="n">
        <v>2101</v>
      </c>
      <c r="I185" s="105" t="n">
        <v>2460</v>
      </c>
      <c r="J185" s="105" t="n">
        <v>2320</v>
      </c>
      <c r="K185" s="105" t="n">
        <v>1522</v>
      </c>
      <c r="L185" s="105" t="n">
        <v>990</v>
      </c>
    </row>
    <row r="186" customFormat="false" ht="15" hidden="false" customHeight="false" outlineLevel="0" collapsed="false">
      <c r="A186" s="29" t="s">
        <v>377</v>
      </c>
      <c r="B186" s="60" t="s">
        <v>1921</v>
      </c>
      <c r="C186" s="61" t="n">
        <f aca="false">SUM(E186:P186)</f>
        <v>3807</v>
      </c>
      <c r="E186" s="105" t="n">
        <v>474</v>
      </c>
      <c r="F186" s="105" t="n">
        <v>452</v>
      </c>
      <c r="G186" s="105" t="n">
        <v>527</v>
      </c>
      <c r="H186" s="105" t="n">
        <v>434</v>
      </c>
      <c r="I186" s="105" t="n">
        <v>439</v>
      </c>
      <c r="J186" s="105" t="n">
        <v>516</v>
      </c>
      <c r="K186" s="105" t="n">
        <v>459</v>
      </c>
      <c r="L186" s="105" t="n">
        <v>506</v>
      </c>
    </row>
    <row r="187" customFormat="false" ht="15" hidden="false" customHeight="false" outlineLevel="0" collapsed="false">
      <c r="A187" s="29" t="s">
        <v>2091</v>
      </c>
      <c r="B187" s="60" t="s">
        <v>2092</v>
      </c>
      <c r="C187" s="61" t="n">
        <f aca="false">SUM(E187:P187)</f>
        <v>24200</v>
      </c>
      <c r="E187" s="105" t="n">
        <v>3100</v>
      </c>
      <c r="F187" s="105" t="n">
        <v>1800</v>
      </c>
      <c r="G187" s="105" t="n">
        <v>5200</v>
      </c>
      <c r="H187" s="105" t="n">
        <v>2400</v>
      </c>
      <c r="I187" s="105" t="n">
        <v>4100</v>
      </c>
      <c r="J187" s="105" t="n">
        <v>2200</v>
      </c>
      <c r="K187" s="105" t="n">
        <v>3900</v>
      </c>
      <c r="L187" s="105" t="n">
        <v>1500</v>
      </c>
    </row>
    <row r="188" customFormat="false" ht="15" hidden="false" customHeight="false" outlineLevel="0" collapsed="false">
      <c r="A188" s="29" t="s">
        <v>2093</v>
      </c>
      <c r="B188" s="60" t="s">
        <v>2092</v>
      </c>
      <c r="C188" s="61" t="n">
        <f aca="false">SUM(E188:P188)</f>
        <v>0</v>
      </c>
      <c r="E188" s="105" t="n">
        <v>0</v>
      </c>
      <c r="F188" s="105" t="n">
        <v>0</v>
      </c>
      <c r="G188" s="105" t="n">
        <v>0</v>
      </c>
      <c r="H188" s="105" t="n">
        <v>0</v>
      </c>
      <c r="I188" s="105" t="n">
        <v>0</v>
      </c>
      <c r="J188" s="105" t="n">
        <v>0</v>
      </c>
      <c r="K188" s="105" t="n">
        <v>0</v>
      </c>
      <c r="L188" s="105" t="n">
        <v>0</v>
      </c>
    </row>
    <row r="189" customFormat="false" ht="15" hidden="false" customHeight="false" outlineLevel="0" collapsed="false">
      <c r="A189" s="29" t="s">
        <v>2094</v>
      </c>
      <c r="B189" s="60" t="s">
        <v>2017</v>
      </c>
      <c r="C189" s="61" t="n">
        <f aca="false">SUM(E189:P189)</f>
        <v>194063.35</v>
      </c>
      <c r="E189" s="105" t="n">
        <v>30857.64</v>
      </c>
      <c r="F189" s="105" t="n">
        <v>8611.99</v>
      </c>
      <c r="G189" s="105" t="n">
        <v>10123.86</v>
      </c>
      <c r="H189" s="105" t="n">
        <v>1925.12</v>
      </c>
      <c r="I189" s="105" t="n">
        <v>17908.6</v>
      </c>
      <c r="J189" s="105" t="n">
        <v>48475.55</v>
      </c>
      <c r="K189" s="105" t="n">
        <v>52164.14</v>
      </c>
      <c r="L189" s="105" t="n">
        <v>23996.45</v>
      </c>
    </row>
    <row r="190" customFormat="false" ht="15" hidden="false" customHeight="false" outlineLevel="0" collapsed="false">
      <c r="A190" s="29" t="s">
        <v>2095</v>
      </c>
      <c r="B190" s="60" t="s">
        <v>2017</v>
      </c>
      <c r="C190" s="61" t="n">
        <f aca="false">SUM(E190:P190)</f>
        <v>332112.33</v>
      </c>
      <c r="E190" s="105" t="n">
        <v>27556.93</v>
      </c>
      <c r="F190" s="105" t="n">
        <v>35377.63</v>
      </c>
      <c r="G190" s="105" t="n">
        <v>41287.68</v>
      </c>
      <c r="H190" s="105" t="n">
        <v>42939.77</v>
      </c>
      <c r="I190" s="105" t="n">
        <v>40405.45</v>
      </c>
      <c r="J190" s="105" t="n">
        <v>47106.27</v>
      </c>
      <c r="K190" s="105" t="n">
        <v>55947.7</v>
      </c>
      <c r="L190" s="105" t="n">
        <v>41490.9</v>
      </c>
    </row>
    <row r="191" customFormat="false" ht="15" hidden="false" customHeight="false" outlineLevel="0" collapsed="false">
      <c r="A191" s="29" t="s">
        <v>2096</v>
      </c>
      <c r="B191" s="60" t="s">
        <v>2017</v>
      </c>
      <c r="C191" s="61" t="n">
        <f aca="false">SUM(E191:P191)</f>
        <v>540610.79</v>
      </c>
      <c r="E191" s="105" t="n">
        <v>71473.38</v>
      </c>
      <c r="F191" s="105" t="n">
        <v>70612.22</v>
      </c>
      <c r="G191" s="105" t="n">
        <v>74971.44</v>
      </c>
      <c r="H191" s="105" t="n">
        <v>63215.27</v>
      </c>
      <c r="I191" s="105" t="n">
        <v>62334.12</v>
      </c>
      <c r="J191" s="105" t="n">
        <v>63599.99</v>
      </c>
      <c r="K191" s="105" t="n">
        <v>68246.55</v>
      </c>
      <c r="L191" s="105" t="n">
        <v>66157.82</v>
      </c>
    </row>
    <row r="192" customFormat="false" ht="15" hidden="false" customHeight="false" outlineLevel="0" collapsed="false">
      <c r="A192" s="29" t="s">
        <v>2097</v>
      </c>
      <c r="B192" s="60" t="s">
        <v>2098</v>
      </c>
      <c r="C192" s="61" t="n">
        <f aca="false">SUM(E192:P192)</f>
        <v>72000</v>
      </c>
      <c r="E192" s="105" t="n">
        <v>0</v>
      </c>
      <c r="F192" s="105" t="n">
        <v>0</v>
      </c>
      <c r="G192" s="105" t="n">
        <v>36000</v>
      </c>
      <c r="H192" s="105" t="n">
        <v>0</v>
      </c>
      <c r="I192" s="105" t="n">
        <v>0</v>
      </c>
      <c r="J192" s="105" t="n">
        <v>36000</v>
      </c>
      <c r="K192" s="105" t="n">
        <v>0</v>
      </c>
      <c r="L192" s="105" t="n">
        <v>0</v>
      </c>
    </row>
    <row r="193" customFormat="false" ht="15" hidden="false" customHeight="false" outlineLevel="0" collapsed="false">
      <c r="A193" s="29" t="s">
        <v>2099</v>
      </c>
      <c r="B193" s="60" t="s">
        <v>2098</v>
      </c>
      <c r="C193" s="61" t="n">
        <f aca="false">SUM(E193:P193)</f>
        <v>22300</v>
      </c>
      <c r="E193" s="105" t="n">
        <v>0</v>
      </c>
      <c r="F193" s="105" t="n">
        <v>0</v>
      </c>
      <c r="G193" s="105" t="n">
        <v>0</v>
      </c>
      <c r="H193" s="105" t="n">
        <v>0</v>
      </c>
      <c r="I193" s="105" t="n">
        <v>0</v>
      </c>
      <c r="J193" s="105" t="n">
        <v>0</v>
      </c>
      <c r="K193" s="105" t="n">
        <v>22300</v>
      </c>
      <c r="L193" s="105" t="n">
        <v>0</v>
      </c>
    </row>
    <row r="194" customFormat="false" ht="15" hidden="false" customHeight="false" outlineLevel="0" collapsed="false">
      <c r="A194" s="29" t="s">
        <v>2100</v>
      </c>
      <c r="B194" s="60" t="s">
        <v>2101</v>
      </c>
      <c r="C194" s="61" t="n">
        <f aca="false">SUM(E194:P194)</f>
        <v>121025</v>
      </c>
      <c r="E194" s="105" t="n">
        <v>0</v>
      </c>
      <c r="F194" s="105" t="n">
        <v>38000</v>
      </c>
      <c r="G194" s="105" t="n">
        <v>0</v>
      </c>
      <c r="H194" s="105" t="n">
        <v>0</v>
      </c>
      <c r="I194" s="105" t="n">
        <v>38000</v>
      </c>
      <c r="J194" s="105" t="n">
        <v>0</v>
      </c>
      <c r="K194" s="105" t="n">
        <v>0</v>
      </c>
      <c r="L194" s="105" t="n">
        <v>45025</v>
      </c>
    </row>
    <row r="195" customFormat="false" ht="15" hidden="false" customHeight="false" outlineLevel="0" collapsed="false">
      <c r="A195" s="29" t="s">
        <v>2102</v>
      </c>
      <c r="B195" s="60" t="s">
        <v>2101</v>
      </c>
      <c r="C195" s="61" t="n">
        <f aca="false">SUM(E195:P195)</f>
        <v>28100</v>
      </c>
      <c r="E195" s="105" t="n">
        <v>0</v>
      </c>
      <c r="F195" s="105" t="n">
        <v>0</v>
      </c>
      <c r="G195" s="105" t="n">
        <v>0</v>
      </c>
      <c r="H195" s="105" t="n">
        <v>0</v>
      </c>
      <c r="I195" s="105" t="n">
        <v>0</v>
      </c>
      <c r="J195" s="105" t="n">
        <v>0</v>
      </c>
      <c r="K195" s="105" t="n">
        <v>28100</v>
      </c>
      <c r="L195" s="105" t="n">
        <v>0</v>
      </c>
    </row>
    <row r="196" customFormat="false" ht="15" hidden="false" customHeight="false" outlineLevel="0" collapsed="false">
      <c r="A196" s="29" t="s">
        <v>2103</v>
      </c>
      <c r="B196" s="60" t="s">
        <v>2104</v>
      </c>
      <c r="C196" s="61" t="n">
        <f aca="false">SUM(E196:P196)</f>
        <v>450000</v>
      </c>
      <c r="E196" s="105" t="n">
        <v>0</v>
      </c>
      <c r="F196" s="105" t="n">
        <v>0</v>
      </c>
      <c r="G196" s="105" t="n">
        <v>0</v>
      </c>
      <c r="H196" s="105" t="n">
        <v>0</v>
      </c>
      <c r="I196" s="105" t="n">
        <v>0</v>
      </c>
      <c r="J196" s="105" t="n">
        <v>450000</v>
      </c>
      <c r="K196" s="105" t="n">
        <v>0</v>
      </c>
      <c r="L196" s="105" t="n">
        <v>0</v>
      </c>
    </row>
    <row r="197" customFormat="false" ht="15" hidden="false" customHeight="false" outlineLevel="0" collapsed="false">
      <c r="A197" s="23" t="s">
        <v>2105</v>
      </c>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row>
    <row r="198" customFormat="false" ht="15" hidden="false" customHeight="false" outlineLevel="0" collapsed="false">
      <c r="A198" s="29" t="s">
        <v>337</v>
      </c>
      <c r="B198" s="60" t="s">
        <v>2106</v>
      </c>
      <c r="C198" s="105" t="n">
        <v>1450000</v>
      </c>
    </row>
    <row r="199" customFormat="false" ht="15" hidden="false" customHeight="false" outlineLevel="0" collapsed="false">
      <c r="A199" s="29" t="s">
        <v>399</v>
      </c>
      <c r="B199" s="60" t="s">
        <v>2106</v>
      </c>
      <c r="C199" s="105" t="n">
        <v>42000</v>
      </c>
    </row>
    <row r="200" customFormat="false" ht="15" hidden="false" customHeight="false" outlineLevel="0" collapsed="false">
      <c r="A200" s="29" t="s">
        <v>2107</v>
      </c>
      <c r="B200" s="60" t="s">
        <v>2106</v>
      </c>
      <c r="C200" s="105" t="n">
        <v>192000</v>
      </c>
    </row>
    <row r="201" customFormat="false" ht="15" hidden="false" customHeight="false" outlineLevel="0" collapsed="false">
      <c r="A201" s="29" t="s">
        <v>2108</v>
      </c>
      <c r="B201" s="60" t="s">
        <v>2106</v>
      </c>
      <c r="C201" s="105" t="n">
        <v>108000</v>
      </c>
    </row>
    <row r="202" customFormat="false" ht="15" hidden="false" customHeight="false" outlineLevel="0" collapsed="false">
      <c r="A202" s="29" t="s">
        <v>2109</v>
      </c>
      <c r="B202" s="60" t="s">
        <v>2106</v>
      </c>
      <c r="C202" s="105" t="n">
        <v>428000</v>
      </c>
    </row>
    <row r="203" customFormat="false" ht="15" hidden="false" customHeight="false" outlineLevel="0" collapsed="false">
      <c r="A203" s="29" t="s">
        <v>2110</v>
      </c>
      <c r="B203" s="60" t="s">
        <v>2106</v>
      </c>
      <c r="C203" s="105" t="n">
        <v>118000</v>
      </c>
    </row>
    <row r="204" customFormat="false" ht="15" hidden="false" customHeight="false" outlineLevel="0" collapsed="false">
      <c r="A204" s="29" t="s">
        <v>404</v>
      </c>
      <c r="B204" s="60" t="s">
        <v>2106</v>
      </c>
      <c r="C204" s="105" t="n">
        <v>31500</v>
      </c>
    </row>
    <row r="205" customFormat="false" ht="15" hidden="false" customHeight="false" outlineLevel="0" collapsed="false">
      <c r="A205" s="29" t="s">
        <v>405</v>
      </c>
      <c r="B205" s="60" t="s">
        <v>2106</v>
      </c>
      <c r="C205" s="105" t="n">
        <v>12400</v>
      </c>
    </row>
    <row r="206" customFormat="false" ht="15" hidden="false" customHeight="false" outlineLevel="0" collapsed="false">
      <c r="A206" s="29" t="s">
        <v>406</v>
      </c>
      <c r="B206" s="60" t="s">
        <v>2106</v>
      </c>
      <c r="C206" s="105" t="n">
        <v>41800</v>
      </c>
    </row>
    <row r="207" customFormat="false" ht="15" hidden="false" customHeight="false" outlineLevel="0" collapsed="false">
      <c r="A207" s="29" t="s">
        <v>2111</v>
      </c>
      <c r="B207" s="60" t="s">
        <v>2106</v>
      </c>
      <c r="C207" s="105" t="n">
        <v>89480.35</v>
      </c>
    </row>
    <row r="208" customFormat="false" ht="15" hidden="false" customHeight="false" outlineLevel="0" collapsed="false">
      <c r="A208" s="29" t="s">
        <v>2112</v>
      </c>
      <c r="B208" s="60" t="s">
        <v>2106</v>
      </c>
      <c r="C208" s="105" t="n">
        <v>79348.87</v>
      </c>
    </row>
    <row r="209" customFormat="false" ht="15" hidden="false" customHeight="false" outlineLevel="0" collapsed="false">
      <c r="A209" s="29" t="s">
        <v>2113</v>
      </c>
      <c r="B209" s="60" t="s">
        <v>2106</v>
      </c>
      <c r="C209" s="105" t="n">
        <v>91925.3</v>
      </c>
    </row>
    <row r="210" customFormat="false" ht="15" hidden="false" customHeight="false" outlineLevel="0" collapsed="false">
      <c r="A210" s="29" t="s">
        <v>2114</v>
      </c>
      <c r="B210" s="60" t="s">
        <v>2106</v>
      </c>
      <c r="C210" s="105" t="n">
        <v>392000</v>
      </c>
    </row>
    <row r="211" customFormat="false" ht="15" hidden="false" customHeight="false" outlineLevel="0" collapsed="false">
      <c r="A211" s="29" t="s">
        <v>2115</v>
      </c>
      <c r="B211" s="60" t="s">
        <v>2106</v>
      </c>
      <c r="C211" s="105" t="n">
        <v>4787.86</v>
      </c>
    </row>
    <row r="212" customFormat="false" ht="15" hidden="false" customHeight="false" outlineLevel="0" collapsed="false">
      <c r="A212" s="29" t="s">
        <v>2116</v>
      </c>
      <c r="B212" s="60" t="s">
        <v>2106</v>
      </c>
      <c r="C212" s="105" t="n">
        <v>166667</v>
      </c>
    </row>
    <row r="213" customFormat="false" ht="15" hidden="false" customHeight="false" outlineLevel="0" collapsed="false">
      <c r="A213" s="29" t="s">
        <v>2117</v>
      </c>
      <c r="B213" s="60" t="s">
        <v>2106</v>
      </c>
      <c r="C213" s="105" t="n">
        <v>22300</v>
      </c>
    </row>
    <row r="214" customFormat="false" ht="15" hidden="false" customHeight="false" outlineLevel="0" collapsed="false">
      <c r="A214" s="29" t="s">
        <v>2118</v>
      </c>
      <c r="B214" s="60" t="s">
        <v>2106</v>
      </c>
      <c r="C214" s="105" t="n">
        <v>28100</v>
      </c>
    </row>
    <row r="215" customFormat="false" ht="15" hidden="false" customHeight="false" outlineLevel="0" collapsed="false">
      <c r="A215" s="29" t="s">
        <v>2119</v>
      </c>
      <c r="B215" s="60" t="s">
        <v>2106</v>
      </c>
      <c r="C215" s="105" t="n">
        <v>50000</v>
      </c>
    </row>
    <row r="216" customFormat="false" ht="15" hidden="false" customHeight="false" outlineLevel="0" collapsed="false">
      <c r="A216" s="29" t="s">
        <v>422</v>
      </c>
      <c r="B216" s="60" t="s">
        <v>2106</v>
      </c>
      <c r="C216" s="105" t="n">
        <v>2251073.87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21" t="str">
        <f aca="false">Assumptions!$C$6</f>
        <v>Selmberg Consulting GmbH (fictional demonstration company)</v>
      </c>
    </row>
    <row r="2" customFormat="false" ht="17.35" hidden="false" customHeight="false" outlineLevel="0" collapsed="false">
      <c r="A2" s="22" t="s">
        <v>2120</v>
      </c>
    </row>
    <row r="3" customFormat="false" ht="15" hidden="false" customHeight="false" outlineLevel="0" collapsed="false">
      <c r="A3" s="51" t="s">
        <v>2121</v>
      </c>
    </row>
    <row r="4" customFormat="false" ht="15" hidden="false" customHeight="false" outlineLevel="0" collapsed="false">
      <c r="A4" s="52" t="s">
        <v>303</v>
      </c>
      <c r="B4" s="52" t="s">
        <v>304</v>
      </c>
      <c r="C4" s="53" t="s">
        <v>305</v>
      </c>
      <c r="D4" s="53"/>
      <c r="E4" s="54" t="n">
        <f aca="false">Assumptions!E$186</f>
        <v>46053</v>
      </c>
      <c r="F4" s="54" t="n">
        <f aca="false">Assumptions!F$186</f>
        <v>46081</v>
      </c>
      <c r="G4" s="54" t="n">
        <f aca="false">Assumptions!G$186</f>
        <v>46112</v>
      </c>
      <c r="H4" s="54" t="n">
        <f aca="false">Assumptions!H$186</f>
        <v>46142</v>
      </c>
      <c r="I4" s="54" t="n">
        <f aca="false">Assumptions!I$186</f>
        <v>46173</v>
      </c>
      <c r="J4" s="54" t="n">
        <f aca="false">Assumptions!J$186</f>
        <v>46203</v>
      </c>
      <c r="K4" s="54" t="n">
        <f aca="false">Assumptions!K$186</f>
        <v>46234</v>
      </c>
      <c r="L4" s="54" t="n">
        <f aca="false">Assumptions!L$186</f>
        <v>46265</v>
      </c>
      <c r="M4" s="54" t="n">
        <f aca="false">Assumptions!M$186</f>
        <v>46295</v>
      </c>
      <c r="N4" s="54" t="n">
        <f aca="false">Assumptions!N$186</f>
        <v>46326</v>
      </c>
      <c r="O4" s="54" t="n">
        <f aca="false">Assumptions!O$186</f>
        <v>46356</v>
      </c>
      <c r="P4" s="54" t="n">
        <f aca="false">Assumptions!P$186</f>
        <v>46387</v>
      </c>
    </row>
    <row r="5" customFormat="false" ht="15" hidden="false" customHeight="false" outlineLevel="0" collapsed="false">
      <c r="A5" s="55" t="s">
        <v>307</v>
      </c>
      <c r="B5" s="56"/>
      <c r="C5" s="57" t="s">
        <v>308</v>
      </c>
      <c r="D5" s="57"/>
      <c r="E5" s="57" t="str">
        <f aca="false">Assumptions!E$188</f>
        <v>A</v>
      </c>
      <c r="F5" s="57" t="str">
        <f aca="false">Assumptions!F$188</f>
        <v>A</v>
      </c>
      <c r="G5" s="57" t="str">
        <f aca="false">Assumptions!G$188</f>
        <v>A</v>
      </c>
      <c r="H5" s="57" t="str">
        <f aca="false">Assumptions!H$188</f>
        <v>A</v>
      </c>
      <c r="I5" s="57" t="str">
        <f aca="false">Assumptions!I$188</f>
        <v>A</v>
      </c>
      <c r="J5" s="57" t="str">
        <f aca="false">Assumptions!J$188</f>
        <v>A</v>
      </c>
      <c r="K5" s="57" t="str">
        <f aca="false">Assumptions!K$188</f>
        <v>A</v>
      </c>
      <c r="L5" s="57" t="str">
        <f aca="false">Assumptions!L$188</f>
        <v>A</v>
      </c>
      <c r="M5" s="57" t="str">
        <f aca="false">Assumptions!M$188</f>
        <v>F</v>
      </c>
      <c r="N5" s="57" t="str">
        <f aca="false">Assumptions!N$188</f>
        <v>F</v>
      </c>
      <c r="O5" s="57" t="str">
        <f aca="false">Assumptions!O$188</f>
        <v>F</v>
      </c>
      <c r="P5" s="57" t="str">
        <f aca="false">Assumptions!P$188</f>
        <v>F</v>
      </c>
    </row>
    <row r="6" customFormat="false" ht="15" hidden="false" customHeight="false" outlineLevel="0" collapsed="false">
      <c r="A6" s="58" t="s">
        <v>310</v>
      </c>
      <c r="E6" s="59" t="n">
        <f aca="false">Assumptions!E$187</f>
        <v>1</v>
      </c>
      <c r="F6" s="59" t="n">
        <f aca="false">Assumptions!F$187</f>
        <v>2</v>
      </c>
      <c r="G6" s="59" t="n">
        <f aca="false">Assumptions!G$187</f>
        <v>3</v>
      </c>
      <c r="H6" s="59" t="n">
        <f aca="false">Assumptions!H$187</f>
        <v>4</v>
      </c>
      <c r="I6" s="59" t="n">
        <f aca="false">Assumptions!I$187</f>
        <v>5</v>
      </c>
      <c r="J6" s="59" t="n">
        <f aca="false">Assumptions!J$187</f>
        <v>6</v>
      </c>
      <c r="K6" s="59" t="n">
        <f aca="false">Assumptions!K$187</f>
        <v>7</v>
      </c>
      <c r="L6" s="59" t="n">
        <f aca="false">Assumptions!L$187</f>
        <v>8</v>
      </c>
      <c r="M6" s="59" t="n">
        <f aca="false">Assumptions!M$187</f>
        <v>9</v>
      </c>
      <c r="N6" s="59" t="n">
        <f aca="false">Assumptions!N$187</f>
        <v>10</v>
      </c>
      <c r="O6" s="59" t="n">
        <f aca="false">Assumptions!O$187</f>
        <v>11</v>
      </c>
      <c r="P6" s="59" t="n">
        <f aca="false">Assumptions!P$187</f>
        <v>12</v>
      </c>
    </row>
    <row r="8" customFormat="false" ht="15" hidden="false" customHeight="false" outlineLevel="0" collapsed="false">
      <c r="A8" s="23" t="s">
        <v>2122</v>
      </c>
      <c r="B8" s="24"/>
      <c r="C8" s="24"/>
      <c r="D8" s="24"/>
      <c r="E8" s="24"/>
      <c r="F8" s="24"/>
      <c r="G8" s="24"/>
      <c r="H8" s="24"/>
      <c r="I8" s="24"/>
      <c r="J8" s="24"/>
      <c r="K8" s="24"/>
      <c r="L8" s="24"/>
      <c r="M8" s="24"/>
      <c r="N8" s="24"/>
      <c r="O8" s="24"/>
      <c r="P8" s="24"/>
    </row>
    <row r="9" customFormat="false" ht="15" hidden="false" customHeight="false" outlineLevel="0" collapsed="false">
      <c r="A9" s="29" t="s">
        <v>2123</v>
      </c>
      <c r="B9" s="60" t="s">
        <v>2124</v>
      </c>
      <c r="C9" s="66" t="n">
        <f aca="false">SUM(E9:P9)</f>
        <v>15300</v>
      </c>
      <c r="E9" s="129" t="n">
        <v>1240</v>
      </c>
      <c r="F9" s="129" t="n">
        <v>1210</v>
      </c>
      <c r="G9" s="129" t="n">
        <v>1350</v>
      </c>
      <c r="H9" s="129" t="n">
        <v>1210</v>
      </c>
      <c r="I9" s="129" t="n">
        <v>1050</v>
      </c>
      <c r="J9" s="129" t="n">
        <v>1320</v>
      </c>
      <c r="K9" s="129" t="n">
        <v>1400</v>
      </c>
      <c r="L9" s="129" t="n">
        <v>1110</v>
      </c>
      <c r="M9" s="129" t="n">
        <v>1390</v>
      </c>
      <c r="N9" s="129" t="n">
        <v>1340</v>
      </c>
      <c r="O9" s="129" t="n">
        <v>1330</v>
      </c>
      <c r="P9" s="129" t="n">
        <v>1350</v>
      </c>
    </row>
    <row r="10" customFormat="false" ht="15" hidden="false" customHeight="false" outlineLevel="0" collapsed="false">
      <c r="A10" s="29" t="s">
        <v>2125</v>
      </c>
      <c r="B10" s="60" t="s">
        <v>2124</v>
      </c>
      <c r="C10" s="66" t="n">
        <f aca="false">SUM(E10:P10)</f>
        <v>12170</v>
      </c>
      <c r="E10" s="129" t="n">
        <v>920</v>
      </c>
      <c r="F10" s="129" t="n">
        <v>940</v>
      </c>
      <c r="G10" s="129" t="n">
        <v>1060</v>
      </c>
      <c r="H10" s="129" t="n">
        <v>980</v>
      </c>
      <c r="I10" s="129" t="n">
        <v>860</v>
      </c>
      <c r="J10" s="129" t="n">
        <v>1060</v>
      </c>
      <c r="K10" s="129" t="n">
        <v>1120</v>
      </c>
      <c r="L10" s="129" t="n">
        <v>890</v>
      </c>
      <c r="M10" s="129" t="n">
        <v>1110</v>
      </c>
      <c r="N10" s="129" t="n">
        <v>1080</v>
      </c>
      <c r="O10" s="129" t="n">
        <v>1070</v>
      </c>
      <c r="P10" s="129" t="n">
        <v>1080</v>
      </c>
    </row>
    <row r="11" customFormat="false" ht="15" hidden="false" customHeight="false" outlineLevel="0" collapsed="false">
      <c r="A11" s="29" t="s">
        <v>2126</v>
      </c>
      <c r="B11" s="60" t="s">
        <v>2124</v>
      </c>
      <c r="C11" s="66" t="n">
        <f aca="false">SUM(E11:P11)</f>
        <v>13320</v>
      </c>
      <c r="E11" s="129" t="n">
        <v>1080</v>
      </c>
      <c r="F11" s="129" t="n">
        <v>1050</v>
      </c>
      <c r="G11" s="129" t="n">
        <v>1190</v>
      </c>
      <c r="H11" s="129" t="n">
        <v>1060</v>
      </c>
      <c r="I11" s="129" t="n">
        <v>920</v>
      </c>
      <c r="J11" s="129" t="n">
        <v>1140</v>
      </c>
      <c r="K11" s="129" t="n">
        <v>1210</v>
      </c>
      <c r="L11" s="129" t="n">
        <v>970</v>
      </c>
      <c r="M11" s="129" t="n">
        <v>1200</v>
      </c>
      <c r="N11" s="129" t="n">
        <v>1170</v>
      </c>
      <c r="O11" s="129" t="n">
        <v>1160</v>
      </c>
      <c r="P11" s="129" t="n">
        <v>1170</v>
      </c>
    </row>
    <row r="12" customFormat="false" ht="15" hidden="false" customHeight="false" outlineLevel="0" collapsed="false">
      <c r="A12" s="68" t="s">
        <v>2127</v>
      </c>
      <c r="B12" s="69"/>
      <c r="C12" s="113" t="n">
        <f aca="false">SUM(E12:P12)</f>
        <v>40790</v>
      </c>
      <c r="D12" s="150"/>
      <c r="E12" s="113" t="n">
        <f aca="false">E9+E10+E11</f>
        <v>3240</v>
      </c>
      <c r="F12" s="113" t="n">
        <f aca="false">F9+F10+F11</f>
        <v>3200</v>
      </c>
      <c r="G12" s="113" t="n">
        <f aca="false">G9+G10+G11</f>
        <v>3600</v>
      </c>
      <c r="H12" s="113" t="n">
        <f aca="false">H9+H10+H11</f>
        <v>3250</v>
      </c>
      <c r="I12" s="113" t="n">
        <f aca="false">I9+I10+I11</f>
        <v>2830</v>
      </c>
      <c r="J12" s="113" t="n">
        <f aca="false">J9+J10+J11</f>
        <v>3520</v>
      </c>
      <c r="K12" s="113" t="n">
        <f aca="false">K9+K10+K11</f>
        <v>3730</v>
      </c>
      <c r="L12" s="113" t="n">
        <f aca="false">L9+L10+L11</f>
        <v>2970</v>
      </c>
      <c r="M12" s="113" t="n">
        <f aca="false">M9+M10+M11</f>
        <v>3700</v>
      </c>
      <c r="N12" s="113" t="n">
        <f aca="false">N9+N10+N11</f>
        <v>3590</v>
      </c>
      <c r="O12" s="113" t="n">
        <f aca="false">O9+O10+O11</f>
        <v>3560</v>
      </c>
      <c r="P12" s="113" t="n">
        <f aca="false">P9+P10+P11</f>
        <v>3600</v>
      </c>
    </row>
    <row r="13" customFormat="false" ht="15" hidden="false" customHeight="false" outlineLevel="0" collapsed="false">
      <c r="A13" s="23" t="s">
        <v>351</v>
      </c>
      <c r="B13" s="24"/>
      <c r="C13" s="24"/>
      <c r="D13" s="24"/>
      <c r="E13" s="24"/>
      <c r="F13" s="24"/>
      <c r="G13" s="24"/>
      <c r="H13" s="24"/>
      <c r="I13" s="24"/>
      <c r="J13" s="24"/>
      <c r="K13" s="24"/>
      <c r="L13" s="24"/>
      <c r="M13" s="24"/>
      <c r="N13" s="24"/>
      <c r="O13" s="24"/>
      <c r="P13" s="24"/>
    </row>
    <row r="14" customFormat="false" ht="15" hidden="false" customHeight="false" outlineLevel="0" collapsed="false">
      <c r="A14" s="29" t="s">
        <v>495</v>
      </c>
      <c r="B14" s="60" t="s">
        <v>2124</v>
      </c>
      <c r="C14" s="61" t="n">
        <f aca="false">SUM(E14:P14)</f>
        <v>2754000</v>
      </c>
      <c r="E14" s="105" t="n">
        <v>223200</v>
      </c>
      <c r="F14" s="105" t="n">
        <v>217800</v>
      </c>
      <c r="G14" s="105" t="n">
        <v>243000</v>
      </c>
      <c r="H14" s="105" t="n">
        <v>217800</v>
      </c>
      <c r="I14" s="105" t="n">
        <v>189000</v>
      </c>
      <c r="J14" s="105" t="n">
        <v>237600</v>
      </c>
      <c r="K14" s="105" t="n">
        <v>252000</v>
      </c>
      <c r="L14" s="105" t="n">
        <v>199800</v>
      </c>
      <c r="M14" s="105" t="n">
        <v>250200</v>
      </c>
      <c r="N14" s="105" t="n">
        <v>241200</v>
      </c>
      <c r="O14" s="105" t="n">
        <v>239400</v>
      </c>
      <c r="P14" s="105" t="n">
        <v>243000</v>
      </c>
    </row>
    <row r="15" customFormat="false" ht="15" hidden="false" customHeight="false" outlineLevel="0" collapsed="false">
      <c r="A15" s="29" t="s">
        <v>496</v>
      </c>
      <c r="B15" s="60" t="s">
        <v>2124</v>
      </c>
      <c r="C15" s="61" t="n">
        <f aca="false">SUM(E15:P15)</f>
        <v>2166260</v>
      </c>
      <c r="E15" s="105" t="n">
        <v>163760</v>
      </c>
      <c r="F15" s="105" t="n">
        <v>167320</v>
      </c>
      <c r="G15" s="105" t="n">
        <v>188680</v>
      </c>
      <c r="H15" s="105" t="n">
        <v>174440</v>
      </c>
      <c r="I15" s="105" t="n">
        <v>153080</v>
      </c>
      <c r="J15" s="105" t="n">
        <v>188680</v>
      </c>
      <c r="K15" s="105" t="n">
        <v>199360</v>
      </c>
      <c r="L15" s="105" t="n">
        <v>158420</v>
      </c>
      <c r="M15" s="105" t="n">
        <v>197580</v>
      </c>
      <c r="N15" s="105" t="n">
        <v>192240</v>
      </c>
      <c r="O15" s="105" t="n">
        <v>190460</v>
      </c>
      <c r="P15" s="105" t="n">
        <v>192240</v>
      </c>
    </row>
    <row r="16" customFormat="false" ht="15" hidden="false" customHeight="false" outlineLevel="0" collapsed="false">
      <c r="A16" s="29" t="s">
        <v>497</v>
      </c>
      <c r="B16" s="60" t="s">
        <v>2124</v>
      </c>
      <c r="C16" s="61" t="n">
        <f aca="false">SUM(E16:P16)</f>
        <v>2450880</v>
      </c>
      <c r="E16" s="105" t="n">
        <v>198720</v>
      </c>
      <c r="F16" s="105" t="n">
        <v>193200</v>
      </c>
      <c r="G16" s="105" t="n">
        <v>218960</v>
      </c>
      <c r="H16" s="105" t="n">
        <v>195040</v>
      </c>
      <c r="I16" s="105" t="n">
        <v>169280</v>
      </c>
      <c r="J16" s="105" t="n">
        <v>209760</v>
      </c>
      <c r="K16" s="105" t="n">
        <v>222640</v>
      </c>
      <c r="L16" s="105" t="n">
        <v>178480</v>
      </c>
      <c r="M16" s="105" t="n">
        <v>220800</v>
      </c>
      <c r="N16" s="105" t="n">
        <v>215280</v>
      </c>
      <c r="O16" s="105" t="n">
        <v>213440</v>
      </c>
      <c r="P16" s="105" t="n">
        <v>215280</v>
      </c>
    </row>
    <row r="17" customFormat="false" ht="15" hidden="false" customHeight="false" outlineLevel="0" collapsed="false">
      <c r="A17" s="68" t="s">
        <v>349</v>
      </c>
      <c r="B17" s="69"/>
      <c r="C17" s="70" t="n">
        <f aca="false">SUM(E17:P17)</f>
        <v>7371140</v>
      </c>
      <c r="D17" s="150"/>
      <c r="E17" s="70" t="n">
        <f aca="false">E14+E15+E16</f>
        <v>585680</v>
      </c>
      <c r="F17" s="70" t="n">
        <f aca="false">F14+F15+F16</f>
        <v>578320</v>
      </c>
      <c r="G17" s="70" t="n">
        <f aca="false">G14+G15+G16</f>
        <v>650640</v>
      </c>
      <c r="H17" s="70" t="n">
        <f aca="false">H14+H15+H16</f>
        <v>587280</v>
      </c>
      <c r="I17" s="70" t="n">
        <f aca="false">I14+I15+I16</f>
        <v>511360</v>
      </c>
      <c r="J17" s="70" t="n">
        <f aca="false">J14+J15+J16</f>
        <v>636040</v>
      </c>
      <c r="K17" s="70" t="n">
        <f aca="false">K14+K15+K16</f>
        <v>674000</v>
      </c>
      <c r="L17" s="70" t="n">
        <f aca="false">L14+L15+L16</f>
        <v>536700</v>
      </c>
      <c r="M17" s="70" t="n">
        <f aca="false">M14+M15+M16</f>
        <v>668580</v>
      </c>
      <c r="N17" s="70" t="n">
        <f aca="false">N14+N15+N16</f>
        <v>648720</v>
      </c>
      <c r="O17" s="70" t="n">
        <f aca="false">O14+O15+O16</f>
        <v>643300</v>
      </c>
      <c r="P17" s="70" t="n">
        <f aca="false">P14+P15+P16</f>
        <v>650520</v>
      </c>
    </row>
    <row r="18" customFormat="false" ht="15" hidden="false" customHeight="false" outlineLevel="0" collapsed="false">
      <c r="A18" s="29" t="s">
        <v>350</v>
      </c>
      <c r="B18" s="60" t="s">
        <v>2124</v>
      </c>
      <c r="C18" s="61" t="n">
        <f aca="false">SUM(E18:P18)</f>
        <v>348100</v>
      </c>
      <c r="E18" s="105" t="n">
        <v>28200</v>
      </c>
      <c r="F18" s="105" t="n">
        <v>27300</v>
      </c>
      <c r="G18" s="105" t="n">
        <v>31000</v>
      </c>
      <c r="H18" s="105" t="n">
        <v>27300</v>
      </c>
      <c r="I18" s="105" t="n">
        <v>23400</v>
      </c>
      <c r="J18" s="105" t="n">
        <v>30000</v>
      </c>
      <c r="K18" s="105" t="n">
        <v>32300</v>
      </c>
      <c r="L18" s="105" t="n">
        <v>25200</v>
      </c>
      <c r="M18" s="105" t="n">
        <v>31700</v>
      </c>
      <c r="N18" s="105" t="n">
        <v>30500</v>
      </c>
      <c r="O18" s="105" t="n">
        <v>30200</v>
      </c>
      <c r="P18" s="105" t="n">
        <v>31000</v>
      </c>
    </row>
    <row r="19" customFormat="false" ht="15" hidden="false" customHeight="false" outlineLevel="0" collapsed="false">
      <c r="A19" s="68" t="s">
        <v>351</v>
      </c>
      <c r="B19" s="69"/>
      <c r="C19" s="70" t="n">
        <f aca="false">SUM(E19:P19)</f>
        <v>7719240</v>
      </c>
      <c r="D19" s="150"/>
      <c r="E19" s="70" t="n">
        <f aca="false">E17+E18</f>
        <v>613880</v>
      </c>
      <c r="F19" s="70" t="n">
        <f aca="false">F17+F18</f>
        <v>605620</v>
      </c>
      <c r="G19" s="70" t="n">
        <f aca="false">G17+G18</f>
        <v>681640</v>
      </c>
      <c r="H19" s="70" t="n">
        <f aca="false">H17+H18</f>
        <v>614580</v>
      </c>
      <c r="I19" s="70" t="n">
        <f aca="false">I17+I18</f>
        <v>534760</v>
      </c>
      <c r="J19" s="70" t="n">
        <f aca="false">J17+J18</f>
        <v>666040</v>
      </c>
      <c r="K19" s="70" t="n">
        <f aca="false">K17+K18</f>
        <v>706300</v>
      </c>
      <c r="L19" s="70" t="n">
        <f aca="false">L17+L18</f>
        <v>561900</v>
      </c>
      <c r="M19" s="70" t="n">
        <f aca="false">M17+M18</f>
        <v>700280</v>
      </c>
      <c r="N19" s="70" t="n">
        <f aca="false">N17+N18</f>
        <v>679220</v>
      </c>
      <c r="O19" s="70" t="n">
        <f aca="false">O17+O18</f>
        <v>673500</v>
      </c>
      <c r="P19" s="70" t="n">
        <f aca="false">P17+P18</f>
        <v>681520</v>
      </c>
    </row>
    <row r="20" customFormat="false" ht="15" hidden="false" customHeight="false" outlineLevel="0" collapsed="false">
      <c r="A20" s="23" t="s">
        <v>353</v>
      </c>
      <c r="B20" s="24"/>
      <c r="C20" s="24"/>
      <c r="D20" s="24"/>
      <c r="E20" s="24"/>
      <c r="F20" s="24"/>
      <c r="G20" s="24"/>
      <c r="H20" s="24"/>
      <c r="I20" s="24"/>
      <c r="J20" s="24"/>
      <c r="K20" s="24"/>
      <c r="L20" s="24"/>
      <c r="M20" s="24"/>
      <c r="N20" s="24"/>
      <c r="O20" s="24"/>
      <c r="P20" s="24"/>
    </row>
    <row r="21" customFormat="false" ht="15" hidden="false" customHeight="false" outlineLevel="0" collapsed="false">
      <c r="A21" s="29" t="s">
        <v>499</v>
      </c>
      <c r="B21" s="60" t="s">
        <v>2124</v>
      </c>
      <c r="C21" s="61" t="n">
        <f aca="false">SUM(E21:P21)</f>
        <v>-3745432</v>
      </c>
      <c r="E21" s="105" t="n">
        <v>-297676</v>
      </c>
      <c r="F21" s="105" t="n">
        <v>-297676</v>
      </c>
      <c r="G21" s="105" t="n">
        <v>-309936</v>
      </c>
      <c r="H21" s="105" t="n">
        <v>-309936</v>
      </c>
      <c r="I21" s="105" t="n">
        <v>-309936</v>
      </c>
      <c r="J21" s="105" t="n">
        <v>-309936</v>
      </c>
      <c r="K21" s="105" t="n">
        <v>-309936</v>
      </c>
      <c r="L21" s="105" t="n">
        <v>-309936</v>
      </c>
      <c r="M21" s="105" t="n">
        <v>-322616</v>
      </c>
      <c r="N21" s="105" t="n">
        <v>-322616</v>
      </c>
      <c r="O21" s="105" t="n">
        <v>-322616</v>
      </c>
      <c r="P21" s="105" t="n">
        <v>-322616</v>
      </c>
    </row>
    <row r="22" customFormat="false" ht="15" hidden="false" customHeight="false" outlineLevel="0" collapsed="false">
      <c r="A22" s="29" t="s">
        <v>2128</v>
      </c>
      <c r="B22" s="60" t="s">
        <v>2124</v>
      </c>
      <c r="C22" s="61" t="n">
        <f aca="false">SUM(E22:P22)</f>
        <v>-413124</v>
      </c>
      <c r="E22" s="105" t="n">
        <v>-34427</v>
      </c>
      <c r="F22" s="105" t="n">
        <v>-34427</v>
      </c>
      <c r="G22" s="105" t="n">
        <v>-34427</v>
      </c>
      <c r="H22" s="105" t="n">
        <v>-34427</v>
      </c>
      <c r="I22" s="105" t="n">
        <v>-34427</v>
      </c>
      <c r="J22" s="105" t="n">
        <v>-34427</v>
      </c>
      <c r="K22" s="105" t="n">
        <v>-34427</v>
      </c>
      <c r="L22" s="105" t="n">
        <v>-34427</v>
      </c>
      <c r="M22" s="105" t="n">
        <v>-34427</v>
      </c>
      <c r="N22" s="105" t="n">
        <v>-34427</v>
      </c>
      <c r="O22" s="105" t="n">
        <v>-34427</v>
      </c>
      <c r="P22" s="105" t="n">
        <v>-34427</v>
      </c>
    </row>
    <row r="23" customFormat="false" ht="15" hidden="false" customHeight="false" outlineLevel="0" collapsed="false">
      <c r="A23" s="29" t="s">
        <v>357</v>
      </c>
      <c r="B23" s="60" t="s">
        <v>2124</v>
      </c>
      <c r="C23" s="61" t="n">
        <f aca="false">SUM(E23:P23)</f>
        <v>-108000</v>
      </c>
      <c r="E23" s="105" t="n">
        <v>-9000</v>
      </c>
      <c r="F23" s="105" t="n">
        <v>-9000</v>
      </c>
      <c r="G23" s="105" t="n">
        <v>-9000</v>
      </c>
      <c r="H23" s="105" t="n">
        <v>-9000</v>
      </c>
      <c r="I23" s="105" t="n">
        <v>-9000</v>
      </c>
      <c r="J23" s="105" t="n">
        <v>-9000</v>
      </c>
      <c r="K23" s="105" t="n">
        <v>-9000</v>
      </c>
      <c r="L23" s="105" t="n">
        <v>-9000</v>
      </c>
      <c r="M23" s="105" t="n">
        <v>-9000</v>
      </c>
      <c r="N23" s="105" t="n">
        <v>-9000</v>
      </c>
      <c r="O23" s="105" t="n">
        <v>-9000</v>
      </c>
      <c r="P23" s="105" t="n">
        <v>-9000</v>
      </c>
    </row>
    <row r="24" customFormat="false" ht="15" hidden="false" customHeight="false" outlineLevel="0" collapsed="false">
      <c r="A24" s="29" t="s">
        <v>358</v>
      </c>
      <c r="B24" s="60" t="s">
        <v>2124</v>
      </c>
      <c r="C24" s="61" t="n">
        <f aca="false">SUM(E24:P24)</f>
        <v>-489480</v>
      </c>
      <c r="E24" s="105" t="n">
        <v>-38880</v>
      </c>
      <c r="F24" s="105" t="n">
        <v>-38400</v>
      </c>
      <c r="G24" s="105" t="n">
        <v>-43200</v>
      </c>
      <c r="H24" s="105" t="n">
        <v>-39000</v>
      </c>
      <c r="I24" s="105" t="n">
        <v>-33960</v>
      </c>
      <c r="J24" s="105" t="n">
        <v>-42240</v>
      </c>
      <c r="K24" s="105" t="n">
        <v>-44760</v>
      </c>
      <c r="L24" s="105" t="n">
        <v>-35640</v>
      </c>
      <c r="M24" s="105" t="n">
        <v>-44400</v>
      </c>
      <c r="N24" s="105" t="n">
        <v>-43080</v>
      </c>
      <c r="O24" s="105" t="n">
        <v>-42720</v>
      </c>
      <c r="P24" s="105" t="n">
        <v>-43200</v>
      </c>
    </row>
    <row r="25" customFormat="false" ht="15" hidden="false" customHeight="false" outlineLevel="0" collapsed="false">
      <c r="A25" s="68" t="s">
        <v>359</v>
      </c>
      <c r="B25" s="69"/>
      <c r="C25" s="70" t="n">
        <f aca="false">SUM(E25:P25)</f>
        <v>-4756036</v>
      </c>
      <c r="D25" s="150"/>
      <c r="E25" s="70" t="n">
        <f aca="false">SUM(E21:E24)</f>
        <v>-379983</v>
      </c>
      <c r="F25" s="70" t="n">
        <f aca="false">SUM(F21:F24)</f>
        <v>-379503</v>
      </c>
      <c r="G25" s="70" t="n">
        <f aca="false">SUM(G21:G24)</f>
        <v>-396563</v>
      </c>
      <c r="H25" s="70" t="n">
        <f aca="false">SUM(H21:H24)</f>
        <v>-392363</v>
      </c>
      <c r="I25" s="70" t="n">
        <f aca="false">SUM(I21:I24)</f>
        <v>-387323</v>
      </c>
      <c r="J25" s="70" t="n">
        <f aca="false">SUM(J21:J24)</f>
        <v>-395603</v>
      </c>
      <c r="K25" s="70" t="n">
        <f aca="false">SUM(K21:K24)</f>
        <v>-398123</v>
      </c>
      <c r="L25" s="70" t="n">
        <f aca="false">SUM(L21:L24)</f>
        <v>-389003</v>
      </c>
      <c r="M25" s="70" t="n">
        <f aca="false">SUM(M21:M24)</f>
        <v>-410443</v>
      </c>
      <c r="N25" s="70" t="n">
        <f aca="false">SUM(N21:N24)</f>
        <v>-409123</v>
      </c>
      <c r="O25" s="70" t="n">
        <f aca="false">SUM(O21:O24)</f>
        <v>-408763</v>
      </c>
      <c r="P25" s="70" t="n">
        <f aca="false">SUM(P21:P24)</f>
        <v>-409243</v>
      </c>
    </row>
    <row r="26" customFormat="false" ht="15" hidden="false" customHeight="false" outlineLevel="0" collapsed="false">
      <c r="A26" s="68" t="s">
        <v>501</v>
      </c>
      <c r="B26" s="69"/>
      <c r="C26" s="70" t="n">
        <f aca="false">SUM(E26:P26)</f>
        <v>2963204</v>
      </c>
      <c r="D26" s="150"/>
      <c r="E26" s="70" t="n">
        <f aca="false">E19+E25</f>
        <v>233897</v>
      </c>
      <c r="F26" s="70" t="n">
        <f aca="false">F19+F25</f>
        <v>226117</v>
      </c>
      <c r="G26" s="70" t="n">
        <f aca="false">G19+G25</f>
        <v>285077</v>
      </c>
      <c r="H26" s="70" t="n">
        <f aca="false">H19+H25</f>
        <v>222217</v>
      </c>
      <c r="I26" s="70" t="n">
        <f aca="false">I19+I25</f>
        <v>147437</v>
      </c>
      <c r="J26" s="70" t="n">
        <f aca="false">J19+J25</f>
        <v>270437</v>
      </c>
      <c r="K26" s="70" t="n">
        <f aca="false">K19+K25</f>
        <v>308177</v>
      </c>
      <c r="L26" s="70" t="n">
        <f aca="false">L19+L25</f>
        <v>172897</v>
      </c>
      <c r="M26" s="70" t="n">
        <f aca="false">M19+M25</f>
        <v>289837</v>
      </c>
      <c r="N26" s="70" t="n">
        <f aca="false">N19+N25</f>
        <v>270097</v>
      </c>
      <c r="O26" s="70" t="n">
        <f aca="false">O19+O25</f>
        <v>264737</v>
      </c>
      <c r="P26" s="70" t="n">
        <f aca="false">P19+P25</f>
        <v>272277</v>
      </c>
    </row>
    <row r="27" customFormat="false" ht="15" hidden="false" customHeight="false" outlineLevel="0" collapsed="false">
      <c r="A27" s="23" t="s">
        <v>363</v>
      </c>
      <c r="B27" s="24"/>
      <c r="C27" s="24"/>
      <c r="D27" s="24"/>
      <c r="E27" s="24"/>
      <c r="F27" s="24"/>
      <c r="G27" s="24"/>
      <c r="H27" s="24"/>
      <c r="I27" s="24"/>
      <c r="J27" s="24"/>
      <c r="K27" s="24"/>
      <c r="L27" s="24"/>
      <c r="M27" s="24"/>
      <c r="N27" s="24"/>
      <c r="O27" s="24"/>
      <c r="P27" s="24"/>
    </row>
    <row r="28" customFormat="false" ht="15" hidden="false" customHeight="false" outlineLevel="0" collapsed="false">
      <c r="A28" s="29" t="s">
        <v>502</v>
      </c>
      <c r="B28" s="60" t="s">
        <v>2124</v>
      </c>
      <c r="C28" s="61" t="n">
        <f aca="false">SUM(E28:P28)</f>
        <v>-786840</v>
      </c>
      <c r="E28" s="105" t="n">
        <v>-65570</v>
      </c>
      <c r="F28" s="105" t="n">
        <v>-65570</v>
      </c>
      <c r="G28" s="105" t="n">
        <v>-65570</v>
      </c>
      <c r="H28" s="105" t="n">
        <v>-65570</v>
      </c>
      <c r="I28" s="105" t="n">
        <v>-65570</v>
      </c>
      <c r="J28" s="105" t="n">
        <v>-65570</v>
      </c>
      <c r="K28" s="105" t="n">
        <v>-65570</v>
      </c>
      <c r="L28" s="105" t="n">
        <v>-65570</v>
      </c>
      <c r="M28" s="105" t="n">
        <v>-65570</v>
      </c>
      <c r="N28" s="105" t="n">
        <v>-65570</v>
      </c>
      <c r="O28" s="105" t="n">
        <v>-65570</v>
      </c>
      <c r="P28" s="105" t="n">
        <v>-65570</v>
      </c>
    </row>
    <row r="29" customFormat="false" ht="15" hidden="false" customHeight="false" outlineLevel="0" collapsed="false">
      <c r="A29" s="29" t="s">
        <v>2129</v>
      </c>
      <c r="B29" s="60" t="s">
        <v>2124</v>
      </c>
      <c r="C29" s="61" t="n">
        <f aca="false">SUM(E29:P29)</f>
        <v>-31764</v>
      </c>
      <c r="E29" s="105" t="n">
        <v>-2647</v>
      </c>
      <c r="F29" s="105" t="n">
        <v>-2647</v>
      </c>
      <c r="G29" s="105" t="n">
        <v>-2647</v>
      </c>
      <c r="H29" s="105" t="n">
        <v>-2647</v>
      </c>
      <c r="I29" s="105" t="n">
        <v>-2647</v>
      </c>
      <c r="J29" s="105" t="n">
        <v>-2647</v>
      </c>
      <c r="K29" s="105" t="n">
        <v>-2647</v>
      </c>
      <c r="L29" s="105" t="n">
        <v>-2647</v>
      </c>
      <c r="M29" s="105" t="n">
        <v>-2647</v>
      </c>
      <c r="N29" s="105" t="n">
        <v>-2647</v>
      </c>
      <c r="O29" s="105" t="n">
        <v>-2647</v>
      </c>
      <c r="P29" s="105" t="n">
        <v>-2647</v>
      </c>
    </row>
    <row r="30" customFormat="false" ht="15" hidden="false" customHeight="false" outlineLevel="0" collapsed="false">
      <c r="A30" s="29" t="s">
        <v>366</v>
      </c>
      <c r="B30" s="60" t="s">
        <v>2124</v>
      </c>
      <c r="C30" s="61" t="n">
        <f aca="false">SUM(E30:P30)</f>
        <v>0</v>
      </c>
      <c r="E30" s="105" t="n">
        <v>0</v>
      </c>
      <c r="F30" s="105" t="n">
        <v>0</v>
      </c>
      <c r="G30" s="105" t="n">
        <v>0</v>
      </c>
      <c r="H30" s="105" t="n">
        <v>0</v>
      </c>
      <c r="I30" s="105" t="n">
        <v>0</v>
      </c>
      <c r="J30" s="105" t="n">
        <v>0</v>
      </c>
      <c r="K30" s="105" t="n">
        <v>0</v>
      </c>
      <c r="L30" s="105" t="n">
        <v>0</v>
      </c>
      <c r="M30" s="105" t="n">
        <v>0</v>
      </c>
      <c r="N30" s="105" t="n">
        <v>0</v>
      </c>
      <c r="O30" s="105" t="n">
        <v>0</v>
      </c>
      <c r="P30" s="105" t="n">
        <v>0</v>
      </c>
    </row>
    <row r="31" customFormat="false" ht="15" hidden="false" customHeight="false" outlineLevel="0" collapsed="false">
      <c r="A31" s="29" t="s">
        <v>367</v>
      </c>
      <c r="B31" s="60" t="s">
        <v>2124</v>
      </c>
      <c r="C31" s="61" t="n">
        <f aca="false">SUM(E31:P31)</f>
        <v>-288000</v>
      </c>
      <c r="E31" s="105" t="n">
        <v>-24000</v>
      </c>
      <c r="F31" s="105" t="n">
        <v>-24000</v>
      </c>
      <c r="G31" s="105" t="n">
        <v>-24000</v>
      </c>
      <c r="H31" s="105" t="n">
        <v>-24000</v>
      </c>
      <c r="I31" s="105" t="n">
        <v>-24000</v>
      </c>
      <c r="J31" s="105" t="n">
        <v>-24000</v>
      </c>
      <c r="K31" s="105" t="n">
        <v>-24000</v>
      </c>
      <c r="L31" s="105" t="n">
        <v>-24000</v>
      </c>
      <c r="M31" s="105" t="n">
        <v>-24000</v>
      </c>
      <c r="N31" s="105" t="n">
        <v>-24000</v>
      </c>
      <c r="O31" s="105" t="n">
        <v>-24000</v>
      </c>
      <c r="P31" s="105" t="n">
        <v>-24000</v>
      </c>
    </row>
    <row r="32" customFormat="false" ht="15" hidden="false" customHeight="false" outlineLevel="0" collapsed="false">
      <c r="A32" s="29" t="s">
        <v>368</v>
      </c>
      <c r="B32" s="60" t="s">
        <v>2124</v>
      </c>
      <c r="C32" s="61" t="n">
        <f aca="false">SUM(E32:P32)</f>
        <v>-158400</v>
      </c>
      <c r="E32" s="105" t="n">
        <v>-13200</v>
      </c>
      <c r="F32" s="105" t="n">
        <v>-13200</v>
      </c>
      <c r="G32" s="105" t="n">
        <v>-13200</v>
      </c>
      <c r="H32" s="105" t="n">
        <v>-13200</v>
      </c>
      <c r="I32" s="105" t="n">
        <v>-13200</v>
      </c>
      <c r="J32" s="105" t="n">
        <v>-13200</v>
      </c>
      <c r="K32" s="105" t="n">
        <v>-13200</v>
      </c>
      <c r="L32" s="105" t="n">
        <v>-13200</v>
      </c>
      <c r="M32" s="105" t="n">
        <v>-13200</v>
      </c>
      <c r="N32" s="105" t="n">
        <v>-13200</v>
      </c>
      <c r="O32" s="105" t="n">
        <v>-13200</v>
      </c>
      <c r="P32" s="105" t="n">
        <v>-13200</v>
      </c>
    </row>
    <row r="33" customFormat="false" ht="15" hidden="false" customHeight="false" outlineLevel="0" collapsed="false">
      <c r="A33" s="29" t="s">
        <v>369</v>
      </c>
      <c r="B33" s="60" t="s">
        <v>2124</v>
      </c>
      <c r="C33" s="61" t="n">
        <f aca="false">SUM(E33:P33)</f>
        <v>-75600</v>
      </c>
      <c r="E33" s="105" t="n">
        <v>-6300</v>
      </c>
      <c r="F33" s="105" t="n">
        <v>-6300</v>
      </c>
      <c r="G33" s="105" t="n">
        <v>-6300</v>
      </c>
      <c r="H33" s="105" t="n">
        <v>-6300</v>
      </c>
      <c r="I33" s="105" t="n">
        <v>-6300</v>
      </c>
      <c r="J33" s="105" t="n">
        <v>-6300</v>
      </c>
      <c r="K33" s="105" t="n">
        <v>-6300</v>
      </c>
      <c r="L33" s="105" t="n">
        <v>-6300</v>
      </c>
      <c r="M33" s="105" t="n">
        <v>-6300</v>
      </c>
      <c r="N33" s="105" t="n">
        <v>-6300</v>
      </c>
      <c r="O33" s="105" t="n">
        <v>-6300</v>
      </c>
      <c r="P33" s="105" t="n">
        <v>-6300</v>
      </c>
    </row>
    <row r="34" customFormat="false" ht="15" hidden="false" customHeight="false" outlineLevel="0" collapsed="false">
      <c r="A34" s="29" t="s">
        <v>370</v>
      </c>
      <c r="B34" s="60" t="s">
        <v>2124</v>
      </c>
      <c r="C34" s="61" t="n">
        <f aca="false">SUM(E34:P34)</f>
        <v>-54000</v>
      </c>
      <c r="E34" s="105" t="n">
        <v>-4500</v>
      </c>
      <c r="F34" s="105" t="n">
        <v>-4500</v>
      </c>
      <c r="G34" s="105" t="n">
        <v>-4500</v>
      </c>
      <c r="H34" s="105" t="n">
        <v>-4500</v>
      </c>
      <c r="I34" s="105" t="n">
        <v>-4500</v>
      </c>
      <c r="J34" s="105" t="n">
        <v>-4500</v>
      </c>
      <c r="K34" s="105" t="n">
        <v>-4500</v>
      </c>
      <c r="L34" s="105" t="n">
        <v>-4500</v>
      </c>
      <c r="M34" s="105" t="n">
        <v>-4500</v>
      </c>
      <c r="N34" s="105" t="n">
        <v>-4500</v>
      </c>
      <c r="O34" s="105" t="n">
        <v>-4500</v>
      </c>
      <c r="P34" s="105" t="n">
        <v>-4500</v>
      </c>
    </row>
    <row r="35" customFormat="false" ht="15" hidden="false" customHeight="false" outlineLevel="0" collapsed="false">
      <c r="A35" s="29" t="s">
        <v>371</v>
      </c>
      <c r="B35" s="60" t="s">
        <v>2124</v>
      </c>
      <c r="C35" s="61" t="n">
        <f aca="false">SUM(E35:P35)</f>
        <v>-98400</v>
      </c>
      <c r="E35" s="105" t="n">
        <v>-8200</v>
      </c>
      <c r="F35" s="105" t="n">
        <v>-8200</v>
      </c>
      <c r="G35" s="105" t="n">
        <v>-8200</v>
      </c>
      <c r="H35" s="105" t="n">
        <v>-8200</v>
      </c>
      <c r="I35" s="105" t="n">
        <v>-8200</v>
      </c>
      <c r="J35" s="105" t="n">
        <v>-8200</v>
      </c>
      <c r="K35" s="105" t="n">
        <v>-8200</v>
      </c>
      <c r="L35" s="105" t="n">
        <v>-8200</v>
      </c>
      <c r="M35" s="105" t="n">
        <v>-8200</v>
      </c>
      <c r="N35" s="105" t="n">
        <v>-8200</v>
      </c>
      <c r="O35" s="105" t="n">
        <v>-8200</v>
      </c>
      <c r="P35" s="105" t="n">
        <v>-8200</v>
      </c>
    </row>
    <row r="36" customFormat="false" ht="15" hidden="false" customHeight="false" outlineLevel="0" collapsed="false">
      <c r="A36" s="29" t="s">
        <v>372</v>
      </c>
      <c r="B36" s="60" t="s">
        <v>2124</v>
      </c>
      <c r="C36" s="61" t="n">
        <f aca="false">SUM(E36:P36)</f>
        <v>-66000</v>
      </c>
      <c r="E36" s="105" t="n">
        <v>-5500</v>
      </c>
      <c r="F36" s="105" t="n">
        <v>-5500</v>
      </c>
      <c r="G36" s="105" t="n">
        <v>-5500</v>
      </c>
      <c r="H36" s="105" t="n">
        <v>-5500</v>
      </c>
      <c r="I36" s="105" t="n">
        <v>-5500</v>
      </c>
      <c r="J36" s="105" t="n">
        <v>-5500</v>
      </c>
      <c r="K36" s="105" t="n">
        <v>-5500</v>
      </c>
      <c r="L36" s="105" t="n">
        <v>-5500</v>
      </c>
      <c r="M36" s="105" t="n">
        <v>-5500</v>
      </c>
      <c r="N36" s="105" t="n">
        <v>-5500</v>
      </c>
      <c r="O36" s="105" t="n">
        <v>-5500</v>
      </c>
      <c r="P36" s="105" t="n">
        <v>-5500</v>
      </c>
    </row>
    <row r="37" customFormat="false" ht="15" hidden="false" customHeight="false" outlineLevel="0" collapsed="false">
      <c r="A37" s="29" t="s">
        <v>373</v>
      </c>
      <c r="B37" s="60" t="s">
        <v>2124</v>
      </c>
      <c r="C37" s="61" t="n">
        <f aca="false">SUM(E37:P37)</f>
        <v>-45600</v>
      </c>
      <c r="E37" s="105" t="n">
        <v>-3800</v>
      </c>
      <c r="F37" s="105" t="n">
        <v>-3800</v>
      </c>
      <c r="G37" s="105" t="n">
        <v>-3800</v>
      </c>
      <c r="H37" s="105" t="n">
        <v>-3800</v>
      </c>
      <c r="I37" s="105" t="n">
        <v>-3800</v>
      </c>
      <c r="J37" s="105" t="n">
        <v>-3800</v>
      </c>
      <c r="K37" s="105" t="n">
        <v>-3800</v>
      </c>
      <c r="L37" s="105" t="n">
        <v>-3800</v>
      </c>
      <c r="M37" s="105" t="n">
        <v>-3800</v>
      </c>
      <c r="N37" s="105" t="n">
        <v>-3800</v>
      </c>
      <c r="O37" s="105" t="n">
        <v>-3800</v>
      </c>
      <c r="P37" s="105" t="n">
        <v>-3800</v>
      </c>
    </row>
    <row r="38" customFormat="false" ht="15" hidden="false" customHeight="false" outlineLevel="0" collapsed="false">
      <c r="A38" s="29" t="s">
        <v>374</v>
      </c>
      <c r="B38" s="60" t="s">
        <v>2124</v>
      </c>
      <c r="C38" s="61" t="n">
        <f aca="false">SUM(E38:P38)</f>
        <v>-72000</v>
      </c>
      <c r="E38" s="105" t="n">
        <v>-6000</v>
      </c>
      <c r="F38" s="105" t="n">
        <v>-6000</v>
      </c>
      <c r="G38" s="105" t="n">
        <v>-6000</v>
      </c>
      <c r="H38" s="105" t="n">
        <v>-6000</v>
      </c>
      <c r="I38" s="105" t="n">
        <v>-6000</v>
      </c>
      <c r="J38" s="105" t="n">
        <v>-6000</v>
      </c>
      <c r="K38" s="105" t="n">
        <v>-6000</v>
      </c>
      <c r="L38" s="105" t="n">
        <v>-6000</v>
      </c>
      <c r="M38" s="105" t="n">
        <v>-6000</v>
      </c>
      <c r="N38" s="105" t="n">
        <v>-6000</v>
      </c>
      <c r="O38" s="105" t="n">
        <v>-6000</v>
      </c>
      <c r="P38" s="105" t="n">
        <v>-6000</v>
      </c>
    </row>
    <row r="39" customFormat="false" ht="15" hidden="false" customHeight="false" outlineLevel="0" collapsed="false">
      <c r="A39" s="29" t="s">
        <v>375</v>
      </c>
      <c r="B39" s="60" t="s">
        <v>2124</v>
      </c>
      <c r="C39" s="61" t="n">
        <f aca="false">SUM(E39:P39)</f>
        <v>-49200</v>
      </c>
      <c r="E39" s="105" t="n">
        <v>-4100</v>
      </c>
      <c r="F39" s="105" t="n">
        <v>-4100</v>
      </c>
      <c r="G39" s="105" t="n">
        <v>-4100</v>
      </c>
      <c r="H39" s="105" t="n">
        <v>-4100</v>
      </c>
      <c r="I39" s="105" t="n">
        <v>-4100</v>
      </c>
      <c r="J39" s="105" t="n">
        <v>-4100</v>
      </c>
      <c r="K39" s="105" t="n">
        <v>-4100</v>
      </c>
      <c r="L39" s="105" t="n">
        <v>-4100</v>
      </c>
      <c r="M39" s="105" t="n">
        <v>-4100</v>
      </c>
      <c r="N39" s="105" t="n">
        <v>-4100</v>
      </c>
      <c r="O39" s="105" t="n">
        <v>-4100</v>
      </c>
      <c r="P39" s="105" t="n">
        <v>-4100</v>
      </c>
    </row>
    <row r="40" customFormat="false" ht="15" hidden="false" customHeight="false" outlineLevel="0" collapsed="false">
      <c r="A40" s="29" t="s">
        <v>376</v>
      </c>
      <c r="B40" s="60" t="s">
        <v>2124</v>
      </c>
      <c r="C40" s="61" t="n">
        <f aca="false">SUM(E40:P40)</f>
        <v>-27600</v>
      </c>
      <c r="E40" s="105" t="n">
        <v>-2300</v>
      </c>
      <c r="F40" s="105" t="n">
        <v>-2300</v>
      </c>
      <c r="G40" s="105" t="n">
        <v>-2300</v>
      </c>
      <c r="H40" s="105" t="n">
        <v>-2300</v>
      </c>
      <c r="I40" s="105" t="n">
        <v>-2300</v>
      </c>
      <c r="J40" s="105" t="n">
        <v>-2300</v>
      </c>
      <c r="K40" s="105" t="n">
        <v>-2300</v>
      </c>
      <c r="L40" s="105" t="n">
        <v>-2300</v>
      </c>
      <c r="M40" s="105" t="n">
        <v>-2300</v>
      </c>
      <c r="N40" s="105" t="n">
        <v>-2300</v>
      </c>
      <c r="O40" s="105" t="n">
        <v>-2300</v>
      </c>
      <c r="P40" s="105" t="n">
        <v>-2300</v>
      </c>
    </row>
    <row r="41" customFormat="false" ht="15" hidden="false" customHeight="false" outlineLevel="0" collapsed="false">
      <c r="A41" s="29" t="s">
        <v>377</v>
      </c>
      <c r="B41" s="60" t="s">
        <v>2124</v>
      </c>
      <c r="C41" s="61" t="n">
        <f aca="false">SUM(E41:P41)</f>
        <v>-6000</v>
      </c>
      <c r="E41" s="105" t="n">
        <v>-500</v>
      </c>
      <c r="F41" s="105" t="n">
        <v>-500</v>
      </c>
      <c r="G41" s="105" t="n">
        <v>-500</v>
      </c>
      <c r="H41" s="105" t="n">
        <v>-500</v>
      </c>
      <c r="I41" s="105" t="n">
        <v>-500</v>
      </c>
      <c r="J41" s="105" t="n">
        <v>-500</v>
      </c>
      <c r="K41" s="105" t="n">
        <v>-500</v>
      </c>
      <c r="L41" s="105" t="n">
        <v>-500</v>
      </c>
      <c r="M41" s="105" t="n">
        <v>-500</v>
      </c>
      <c r="N41" s="105" t="n">
        <v>-500</v>
      </c>
      <c r="O41" s="105" t="n">
        <v>-500</v>
      </c>
      <c r="P41" s="105" t="n">
        <v>-500</v>
      </c>
    </row>
    <row r="42" customFormat="false" ht="15" hidden="false" customHeight="false" outlineLevel="0" collapsed="false">
      <c r="A42" s="29" t="s">
        <v>378</v>
      </c>
      <c r="B42" s="60" t="s">
        <v>2124</v>
      </c>
      <c r="C42" s="61" t="n">
        <f aca="false">SUM(E42:P42)</f>
        <v>-18000</v>
      </c>
      <c r="E42" s="105" t="n">
        <v>-1500</v>
      </c>
      <c r="F42" s="105" t="n">
        <v>-1500</v>
      </c>
      <c r="G42" s="105" t="n">
        <v>-1500</v>
      </c>
      <c r="H42" s="105" t="n">
        <v>-1500</v>
      </c>
      <c r="I42" s="105" t="n">
        <v>-1500</v>
      </c>
      <c r="J42" s="105" t="n">
        <v>-1500</v>
      </c>
      <c r="K42" s="105" t="n">
        <v>-1500</v>
      </c>
      <c r="L42" s="105" t="n">
        <v>-1500</v>
      </c>
      <c r="M42" s="105" t="n">
        <v>-1500</v>
      </c>
      <c r="N42" s="105" t="n">
        <v>-1500</v>
      </c>
      <c r="O42" s="105" t="n">
        <v>-1500</v>
      </c>
      <c r="P42" s="105" t="n">
        <v>-1500</v>
      </c>
    </row>
    <row r="43" customFormat="false" ht="15" hidden="false" customHeight="false" outlineLevel="0" collapsed="false">
      <c r="A43" s="68" t="s">
        <v>379</v>
      </c>
      <c r="B43" s="69"/>
      <c r="C43" s="70" t="n">
        <f aca="false">SUM(E43:P43)</f>
        <v>-1777404</v>
      </c>
      <c r="D43" s="150"/>
      <c r="E43" s="70" t="n">
        <f aca="false">SUM(E28:E42)</f>
        <v>-148117</v>
      </c>
      <c r="F43" s="70" t="n">
        <f aca="false">SUM(F28:F42)</f>
        <v>-148117</v>
      </c>
      <c r="G43" s="70" t="n">
        <f aca="false">SUM(G28:G42)</f>
        <v>-148117</v>
      </c>
      <c r="H43" s="70" t="n">
        <f aca="false">SUM(H28:H42)</f>
        <v>-148117</v>
      </c>
      <c r="I43" s="70" t="n">
        <f aca="false">SUM(I28:I42)</f>
        <v>-148117</v>
      </c>
      <c r="J43" s="70" t="n">
        <f aca="false">SUM(J28:J42)</f>
        <v>-148117</v>
      </c>
      <c r="K43" s="70" t="n">
        <f aca="false">SUM(K28:K42)</f>
        <v>-148117</v>
      </c>
      <c r="L43" s="70" t="n">
        <f aca="false">SUM(L28:L42)</f>
        <v>-148117</v>
      </c>
      <c r="M43" s="70" t="n">
        <f aca="false">SUM(M28:M42)</f>
        <v>-148117</v>
      </c>
      <c r="N43" s="70" t="n">
        <f aca="false">SUM(N28:N42)</f>
        <v>-148117</v>
      </c>
      <c r="O43" s="70" t="n">
        <f aca="false">SUM(O28:O42)</f>
        <v>-148117</v>
      </c>
      <c r="P43" s="70" t="n">
        <f aca="false">SUM(P28:P42)</f>
        <v>-148117</v>
      </c>
    </row>
    <row r="44" customFormat="false" ht="15" hidden="false" customHeight="false" outlineLevel="0" collapsed="false">
      <c r="A44" s="68" t="s">
        <v>317</v>
      </c>
      <c r="B44" s="69"/>
      <c r="C44" s="70" t="n">
        <f aca="false">SUM(E44:P44)</f>
        <v>1185800</v>
      </c>
      <c r="D44" s="150"/>
      <c r="E44" s="70" t="n">
        <f aca="false">E26+E43</f>
        <v>85780</v>
      </c>
      <c r="F44" s="70" t="n">
        <f aca="false">F26+F43</f>
        <v>78000</v>
      </c>
      <c r="G44" s="70" t="n">
        <f aca="false">G26+G43</f>
        <v>136960</v>
      </c>
      <c r="H44" s="70" t="n">
        <f aca="false">H26+H43</f>
        <v>74100</v>
      </c>
      <c r="I44" s="70" t="n">
        <f aca="false">I26+I43</f>
        <v>-680</v>
      </c>
      <c r="J44" s="70" t="n">
        <f aca="false">J26+J43</f>
        <v>122320</v>
      </c>
      <c r="K44" s="70" t="n">
        <f aca="false">K26+K43</f>
        <v>160060</v>
      </c>
      <c r="L44" s="70" t="n">
        <f aca="false">L26+L43</f>
        <v>24780</v>
      </c>
      <c r="M44" s="70" t="n">
        <f aca="false">M26+M43</f>
        <v>141720</v>
      </c>
      <c r="N44" s="70" t="n">
        <f aca="false">N26+N43</f>
        <v>121980</v>
      </c>
      <c r="O44" s="70" t="n">
        <f aca="false">O26+O43</f>
        <v>116620</v>
      </c>
      <c r="P44" s="70" t="n">
        <f aca="false">P26+P43</f>
        <v>124160</v>
      </c>
    </row>
    <row r="45" customFormat="false" ht="15" hidden="false" customHeight="false" outlineLevel="0" collapsed="false">
      <c r="A45" s="29" t="s">
        <v>381</v>
      </c>
      <c r="B45" s="60" t="s">
        <v>2124</v>
      </c>
      <c r="C45" s="61" t="n">
        <f aca="false">SUM(E45:P45)</f>
        <v>-129600</v>
      </c>
      <c r="E45" s="105" t="n">
        <v>-10800</v>
      </c>
      <c r="F45" s="105" t="n">
        <v>-10800</v>
      </c>
      <c r="G45" s="105" t="n">
        <v>-10800</v>
      </c>
      <c r="H45" s="105" t="n">
        <v>-10800</v>
      </c>
      <c r="I45" s="105" t="n">
        <v>-10800</v>
      </c>
      <c r="J45" s="105" t="n">
        <v>-10800</v>
      </c>
      <c r="K45" s="105" t="n">
        <v>-10800</v>
      </c>
      <c r="L45" s="105" t="n">
        <v>-10800</v>
      </c>
      <c r="M45" s="105" t="n">
        <v>-10800</v>
      </c>
      <c r="N45" s="105" t="n">
        <v>-10800</v>
      </c>
      <c r="O45" s="105" t="n">
        <v>-10800</v>
      </c>
      <c r="P45" s="105" t="n">
        <v>-10800</v>
      </c>
    </row>
    <row r="46" customFormat="false" ht="15" hidden="false" customHeight="false" outlineLevel="0" collapsed="false">
      <c r="A46" s="29" t="s">
        <v>477</v>
      </c>
      <c r="B46" s="60" t="s">
        <v>2124</v>
      </c>
      <c r="C46" s="61" t="n">
        <f aca="false">SUM(E46:P46)</f>
        <v>-6037</v>
      </c>
      <c r="E46" s="105" t="n">
        <v>-583</v>
      </c>
      <c r="F46" s="105" t="n">
        <v>-569</v>
      </c>
      <c r="G46" s="105" t="n">
        <v>-554</v>
      </c>
      <c r="H46" s="105" t="n">
        <v>-540</v>
      </c>
      <c r="I46" s="105" t="n">
        <v>-525</v>
      </c>
      <c r="J46" s="105" t="n">
        <v>-510</v>
      </c>
      <c r="K46" s="105" t="n">
        <v>-496</v>
      </c>
      <c r="L46" s="105" t="n">
        <v>-481</v>
      </c>
      <c r="M46" s="105" t="n">
        <v>-467</v>
      </c>
      <c r="N46" s="105" t="n">
        <v>-452</v>
      </c>
      <c r="O46" s="105" t="n">
        <v>-437</v>
      </c>
      <c r="P46" s="105" t="n">
        <v>-423</v>
      </c>
    </row>
    <row r="47" customFormat="false" ht="15" hidden="false" customHeight="false" outlineLevel="0" collapsed="false">
      <c r="A47" s="68" t="s">
        <v>384</v>
      </c>
      <c r="B47" s="69"/>
      <c r="C47" s="70" t="n">
        <f aca="false">SUM(E47:P47)</f>
        <v>1050163</v>
      </c>
      <c r="D47" s="150"/>
      <c r="E47" s="70" t="n">
        <f aca="false">E44+E45+E46</f>
        <v>74397</v>
      </c>
      <c r="F47" s="70" t="n">
        <f aca="false">F44+F45+F46</f>
        <v>66631</v>
      </c>
      <c r="G47" s="70" t="n">
        <f aca="false">G44+G45+G46</f>
        <v>125606</v>
      </c>
      <c r="H47" s="70" t="n">
        <f aca="false">H44+H45+H46</f>
        <v>62760</v>
      </c>
      <c r="I47" s="70" t="n">
        <f aca="false">I44+I45+I46</f>
        <v>-12005</v>
      </c>
      <c r="J47" s="70" t="n">
        <f aca="false">J44+J45+J46</f>
        <v>111010</v>
      </c>
      <c r="K47" s="70" t="n">
        <f aca="false">K44+K45+K46</f>
        <v>148764</v>
      </c>
      <c r="L47" s="70" t="n">
        <f aca="false">L44+L45+L46</f>
        <v>13499</v>
      </c>
      <c r="M47" s="70" t="n">
        <f aca="false">M44+M45+M46</f>
        <v>130453</v>
      </c>
      <c r="N47" s="70" t="n">
        <f aca="false">N44+N45+N46</f>
        <v>110728</v>
      </c>
      <c r="O47" s="70" t="n">
        <f aca="false">O44+O45+O46</f>
        <v>105383</v>
      </c>
      <c r="P47" s="70" t="n">
        <f aca="false">P44+P45+P46</f>
        <v>112937</v>
      </c>
    </row>
    <row r="48" customFormat="false" ht="15" hidden="false" customHeight="false" outlineLevel="0" collapsed="false">
      <c r="A48" s="29" t="s">
        <v>2130</v>
      </c>
      <c r="B48" s="60" t="s">
        <v>2131</v>
      </c>
      <c r="C48" s="61" t="n">
        <f aca="false">SUM(E48:P48)</f>
        <v>-346291.24925</v>
      </c>
      <c r="E48" s="62" t="n">
        <f aca="false">-E47*(Assumptions!$C$30+Assumptions!$C$31)</f>
        <v>-24532.41075</v>
      </c>
      <c r="F48" s="62" t="n">
        <f aca="false">-F47*(Assumptions!$C$30+Assumptions!$C$31)</f>
        <v>-21971.57225</v>
      </c>
      <c r="G48" s="62" t="n">
        <f aca="false">-G47*(Assumptions!$C$30+Assumptions!$C$31)</f>
        <v>-41418.5785</v>
      </c>
      <c r="H48" s="62" t="n">
        <f aca="false">-H47*(Assumptions!$C$30+Assumptions!$C$31)</f>
        <v>-20695.11</v>
      </c>
      <c r="I48" s="62" t="n">
        <f aca="false">-I47*(Assumptions!$C$30+Assumptions!$C$31)</f>
        <v>3958.64875</v>
      </c>
      <c r="J48" s="62" t="n">
        <f aca="false">-J47*(Assumptions!$C$30+Assumptions!$C$31)</f>
        <v>-36605.5475</v>
      </c>
      <c r="K48" s="62" t="n">
        <f aca="false">-K47*(Assumptions!$C$30+Assumptions!$C$31)</f>
        <v>-49054.929</v>
      </c>
      <c r="L48" s="62" t="n">
        <f aca="false">-L47*(Assumptions!$C$30+Assumptions!$C$31)</f>
        <v>-4451.29525</v>
      </c>
      <c r="M48" s="62" t="n">
        <f aca="false">-M47*(Assumptions!$C$30+Assumptions!$C$31)</f>
        <v>-43016.87675</v>
      </c>
      <c r="N48" s="62" t="n">
        <f aca="false">-N47*(Assumptions!$C$30+Assumptions!$C$31)</f>
        <v>-36512.558</v>
      </c>
      <c r="O48" s="62" t="n">
        <f aca="false">-O47*(Assumptions!$C$30+Assumptions!$C$31)</f>
        <v>-34750.04425</v>
      </c>
      <c r="P48" s="62" t="n">
        <f aca="false">-P47*(Assumptions!$C$30+Assumptions!$C$31)</f>
        <v>-37240.97575</v>
      </c>
    </row>
    <row r="49" customFormat="false" ht="15" hidden="false" customHeight="false" outlineLevel="0" collapsed="false">
      <c r="A49" s="68" t="s">
        <v>387</v>
      </c>
      <c r="B49" s="69"/>
      <c r="C49" s="70" t="n">
        <f aca="false">SUM(E49:P49)</f>
        <v>703871.75075</v>
      </c>
      <c r="D49" s="150"/>
      <c r="E49" s="70" t="n">
        <f aca="false">E47+E48</f>
        <v>49864.58925</v>
      </c>
      <c r="F49" s="70" t="n">
        <f aca="false">F47+F48</f>
        <v>44659.42775</v>
      </c>
      <c r="G49" s="70" t="n">
        <f aca="false">G47+G48</f>
        <v>84187.4215</v>
      </c>
      <c r="H49" s="70" t="n">
        <f aca="false">H47+H48</f>
        <v>42064.89</v>
      </c>
      <c r="I49" s="70" t="n">
        <f aca="false">I47+I48</f>
        <v>-8046.35125</v>
      </c>
      <c r="J49" s="70" t="n">
        <f aca="false">J47+J48</f>
        <v>74404.4525</v>
      </c>
      <c r="K49" s="70" t="n">
        <f aca="false">K47+K48</f>
        <v>99709.071</v>
      </c>
      <c r="L49" s="70" t="n">
        <f aca="false">L47+L48</f>
        <v>9047.70475</v>
      </c>
      <c r="M49" s="70" t="n">
        <f aca="false">M47+M48</f>
        <v>87436.12325</v>
      </c>
      <c r="N49" s="70" t="n">
        <f aca="false">N47+N48</f>
        <v>74215.442</v>
      </c>
      <c r="O49" s="70" t="n">
        <f aca="false">O47+O48</f>
        <v>70632.95575</v>
      </c>
      <c r="P49" s="70" t="n">
        <f aca="false">P47+P48</f>
        <v>75696.02425</v>
      </c>
    </row>
    <row r="50" customFormat="false" ht="15" hidden="false" customHeight="false" outlineLevel="0" collapsed="false">
      <c r="A50" s="23" t="s">
        <v>2132</v>
      </c>
      <c r="B50" s="24"/>
      <c r="C50" s="24"/>
      <c r="D50" s="24"/>
      <c r="E50" s="24"/>
      <c r="F50" s="24"/>
      <c r="G50" s="24"/>
      <c r="H50" s="24"/>
      <c r="I50" s="24"/>
      <c r="J50" s="24"/>
      <c r="K50" s="24"/>
      <c r="L50" s="24"/>
      <c r="M50" s="24"/>
      <c r="N50" s="24"/>
      <c r="O50" s="24"/>
      <c r="P50" s="24"/>
    </row>
    <row r="51" customFormat="false" ht="15" hidden="false" customHeight="false" outlineLevel="0" collapsed="false">
      <c r="A51" s="29" t="s">
        <v>337</v>
      </c>
      <c r="B51" s="60" t="s">
        <v>2133</v>
      </c>
      <c r="C51" s="61" t="n">
        <f aca="false">P51</f>
        <v>1314000</v>
      </c>
      <c r="E51" s="105" t="n">
        <v>1501000</v>
      </c>
      <c r="F51" s="105" t="n">
        <v>1546000</v>
      </c>
      <c r="G51" s="105" t="n">
        <v>1237000</v>
      </c>
      <c r="H51" s="105" t="n">
        <v>1280000</v>
      </c>
      <c r="I51" s="105" t="n">
        <v>1277000</v>
      </c>
      <c r="J51" s="105" t="n">
        <v>901000</v>
      </c>
      <c r="K51" s="105" t="n">
        <v>998000</v>
      </c>
      <c r="L51" s="105" t="n">
        <v>1011000</v>
      </c>
      <c r="M51" s="105" t="n">
        <v>1096000</v>
      </c>
      <c r="N51" s="105" t="n">
        <v>1169000</v>
      </c>
      <c r="O51" s="105" t="n">
        <v>1239000</v>
      </c>
      <c r="P51" s="105" t="n">
        <v>1314000</v>
      </c>
    </row>
    <row r="52" customFormat="false" ht="15" hidden="false" customHeight="false" outlineLevel="0" collapsed="false">
      <c r="A52" s="29" t="s">
        <v>505</v>
      </c>
      <c r="B52" s="60" t="s">
        <v>2133</v>
      </c>
      <c r="C52" s="61" t="n">
        <f aca="false">P52</f>
        <v>1077000</v>
      </c>
      <c r="E52" s="105" t="n">
        <v>970000</v>
      </c>
      <c r="F52" s="105" t="n">
        <v>957000</v>
      </c>
      <c r="G52" s="105" t="n">
        <v>1078000</v>
      </c>
      <c r="H52" s="105" t="n">
        <v>972000</v>
      </c>
      <c r="I52" s="105" t="n">
        <v>845000</v>
      </c>
      <c r="J52" s="105" t="n">
        <v>1053000</v>
      </c>
      <c r="K52" s="105" t="n">
        <v>1117000</v>
      </c>
      <c r="L52" s="105" t="n">
        <v>888000</v>
      </c>
      <c r="M52" s="105" t="n">
        <v>1107000</v>
      </c>
      <c r="N52" s="105" t="n">
        <v>1074000</v>
      </c>
      <c r="O52" s="105" t="n">
        <v>1065000</v>
      </c>
      <c r="P52" s="105" t="n">
        <v>1077000</v>
      </c>
    </row>
    <row r="53" customFormat="false" ht="15" hidden="false" customHeight="false" outlineLevel="0" collapsed="false">
      <c r="A53" s="29" t="s">
        <v>506</v>
      </c>
      <c r="B53" s="60" t="s">
        <v>2133</v>
      </c>
      <c r="C53" s="61" t="n">
        <f aca="false">P53</f>
        <v>358000</v>
      </c>
      <c r="E53" s="105" t="n">
        <v>322000</v>
      </c>
      <c r="F53" s="105" t="n">
        <v>318000</v>
      </c>
      <c r="G53" s="105" t="n">
        <v>358000</v>
      </c>
      <c r="H53" s="105" t="n">
        <v>323000</v>
      </c>
      <c r="I53" s="105" t="n">
        <v>281000</v>
      </c>
      <c r="J53" s="105" t="n">
        <v>350000</v>
      </c>
      <c r="K53" s="105" t="n">
        <v>371000</v>
      </c>
      <c r="L53" s="105" t="n">
        <v>295000</v>
      </c>
      <c r="M53" s="105" t="n">
        <v>368000</v>
      </c>
      <c r="N53" s="105" t="n">
        <v>357000</v>
      </c>
      <c r="O53" s="105" t="n">
        <v>354000</v>
      </c>
      <c r="P53" s="105" t="n">
        <v>358000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2026-09-23T09:35:59Z</dcterms:created>
  <dc:creator>openpyxl</dc:creator>
  <dc:description/>
  <dc:language>en-US</dc:language>
  <cp:lastModifiedBy/>
  <dcterms:modified xsi:type="dcterms:W3CDTF">2026-09-23T12:36:05Z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